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G\Desktop\EDOS. FINANCIEROS 2023\CEAC\"/>
    </mc:Choice>
  </mc:AlternateContent>
  <bookViews>
    <workbookView xWindow="0" yWindow="0" windowWidth="11700" windowHeight="708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3" i="1" l="1"/>
  <c r="B343" i="1"/>
  <c r="D342" i="1"/>
  <c r="B342" i="1"/>
  <c r="C341" i="1"/>
  <c r="F342" i="1" s="1"/>
  <c r="C340" i="1"/>
  <c r="G336" i="1"/>
  <c r="E334" i="1"/>
  <c r="D334" i="1"/>
  <c r="C334" i="1"/>
  <c r="E333" i="1"/>
  <c r="D333" i="1"/>
  <c r="C333" i="1"/>
  <c r="E332" i="1"/>
  <c r="D332" i="1"/>
  <c r="C332" i="1"/>
  <c r="E331" i="1"/>
  <c r="D331" i="1"/>
  <c r="C331" i="1"/>
  <c r="E330" i="1"/>
  <c r="D330" i="1"/>
  <c r="C330" i="1"/>
  <c r="E329" i="1"/>
  <c r="D329" i="1"/>
  <c r="C329" i="1"/>
  <c r="E328" i="1"/>
  <c r="D328" i="1"/>
  <c r="C328" i="1"/>
  <c r="E327" i="1"/>
  <c r="D327" i="1"/>
  <c r="C327" i="1"/>
  <c r="E326" i="1"/>
  <c r="D326" i="1"/>
  <c r="C326" i="1"/>
  <c r="E324" i="1"/>
  <c r="D324" i="1"/>
  <c r="C324" i="1"/>
  <c r="E323" i="1"/>
  <c r="D323" i="1"/>
  <c r="C323" i="1"/>
  <c r="E322" i="1"/>
  <c r="D322" i="1"/>
  <c r="C322" i="1"/>
  <c r="E321" i="1"/>
  <c r="D321" i="1"/>
  <c r="C321" i="1"/>
  <c r="E320" i="1"/>
  <c r="D320" i="1"/>
  <c r="C320" i="1"/>
  <c r="E319" i="1"/>
  <c r="D319" i="1"/>
  <c r="C319" i="1"/>
  <c r="D314" i="1"/>
  <c r="D313" i="1"/>
  <c r="C312" i="1"/>
  <c r="F313" i="1" s="1"/>
  <c r="B312" i="1"/>
  <c r="C311" i="1"/>
  <c r="F314" i="1" s="1"/>
  <c r="B311" i="1"/>
  <c r="D309" i="1"/>
  <c r="C309" i="1"/>
  <c r="D308" i="1"/>
  <c r="C308" i="1"/>
  <c r="D307" i="1"/>
  <c r="C307" i="1"/>
  <c r="D306" i="1"/>
  <c r="C306" i="1"/>
  <c r="D305" i="1"/>
  <c r="C305" i="1"/>
  <c r="D304" i="1"/>
  <c r="C304" i="1"/>
  <c r="D303" i="1"/>
  <c r="C303" i="1"/>
  <c r="D302" i="1"/>
  <c r="C302" i="1"/>
  <c r="D301" i="1"/>
  <c r="C301" i="1"/>
  <c r="D299" i="1"/>
  <c r="C299" i="1"/>
  <c r="D298" i="1"/>
  <c r="C298" i="1"/>
  <c r="D297" i="1"/>
  <c r="C297" i="1"/>
  <c r="D296" i="1"/>
  <c r="C296" i="1"/>
  <c r="D295" i="1"/>
  <c r="C295" i="1"/>
  <c r="D294" i="1"/>
  <c r="C294" i="1"/>
  <c r="D291" i="1"/>
  <c r="C291" i="1"/>
  <c r="D290" i="1"/>
  <c r="C290" i="1"/>
  <c r="D289" i="1"/>
  <c r="C289" i="1"/>
  <c r="D288" i="1"/>
  <c r="C288" i="1"/>
  <c r="D287" i="1"/>
  <c r="C287" i="1"/>
  <c r="D286" i="1"/>
  <c r="C286" i="1"/>
  <c r="D285" i="1"/>
  <c r="C285" i="1"/>
  <c r="D284" i="1"/>
  <c r="C284" i="1"/>
  <c r="D283" i="1"/>
  <c r="C283" i="1"/>
  <c r="D281" i="1"/>
  <c r="C281" i="1"/>
  <c r="D280" i="1"/>
  <c r="C280" i="1"/>
  <c r="D279" i="1"/>
  <c r="C279" i="1"/>
  <c r="D278" i="1"/>
  <c r="C278" i="1"/>
  <c r="D277" i="1"/>
  <c r="C277" i="1"/>
  <c r="D276" i="1"/>
  <c r="C276" i="1"/>
  <c r="G272" i="1"/>
  <c r="D270" i="1"/>
  <c r="B270" i="1"/>
  <c r="C269" i="1"/>
  <c r="F270" i="1" s="1"/>
  <c r="B268" i="1" s="1"/>
  <c r="A268" i="1" s="1"/>
  <c r="B269" i="1"/>
  <c r="D265" i="1"/>
  <c r="B265" i="1"/>
  <c r="D264" i="1"/>
  <c r="B264" i="1"/>
  <c r="C263" i="1"/>
  <c r="F265" i="1" s="1"/>
  <c r="B263" i="1"/>
  <c r="C262" i="1"/>
  <c r="F264" i="1" s="1"/>
  <c r="B261" i="1" s="1"/>
  <c r="A261" i="1" s="1"/>
  <c r="B262" i="1"/>
  <c r="E258" i="1"/>
  <c r="D258" i="1"/>
  <c r="F258" i="1" s="1"/>
  <c r="B256" i="1" s="1"/>
  <c r="A256" i="1" s="1"/>
  <c r="C257" i="1"/>
  <c r="B257" i="1"/>
  <c r="G253" i="1"/>
  <c r="E251" i="1"/>
  <c r="E250" i="1"/>
  <c r="D250" i="1"/>
  <c r="C250" i="1"/>
  <c r="B249" i="1"/>
  <c r="E244" i="1"/>
  <c r="D244" i="1"/>
  <c r="C244" i="1"/>
  <c r="E243" i="1"/>
  <c r="D243" i="1"/>
  <c r="C243" i="1"/>
  <c r="E242" i="1"/>
  <c r="D242" i="1"/>
  <c r="C242" i="1"/>
  <c r="B241" i="1"/>
  <c r="E237" i="1"/>
  <c r="D237" i="1"/>
  <c r="F237" i="1" s="1"/>
  <c r="C237" i="1"/>
  <c r="E236" i="1"/>
  <c r="D236" i="1"/>
  <c r="C236" i="1"/>
  <c r="E235" i="1"/>
  <c r="D235" i="1"/>
  <c r="F235" i="1" s="1"/>
  <c r="C235" i="1"/>
  <c r="E234" i="1"/>
  <c r="D234" i="1"/>
  <c r="C234" i="1"/>
  <c r="E233" i="1"/>
  <c r="D233" i="1"/>
  <c r="F233" i="1" s="1"/>
  <c r="C233" i="1"/>
  <c r="E232" i="1"/>
  <c r="D232" i="1"/>
  <c r="C232" i="1"/>
  <c r="E231" i="1"/>
  <c r="D231" i="1"/>
  <c r="F231" i="1" s="1"/>
  <c r="C231" i="1"/>
  <c r="E230" i="1"/>
  <c r="D230" i="1"/>
  <c r="C230" i="1"/>
  <c r="E229" i="1"/>
  <c r="D229" i="1"/>
  <c r="F229" i="1" s="1"/>
  <c r="C229" i="1"/>
  <c r="E227" i="1"/>
  <c r="D227" i="1"/>
  <c r="C227" i="1"/>
  <c r="E226" i="1"/>
  <c r="D226" i="1"/>
  <c r="F226" i="1" s="1"/>
  <c r="C226" i="1"/>
  <c r="E225" i="1"/>
  <c r="D225" i="1"/>
  <c r="C225" i="1"/>
  <c r="E224" i="1"/>
  <c r="D224" i="1"/>
  <c r="F224" i="1" s="1"/>
  <c r="C224" i="1"/>
  <c r="E223" i="1"/>
  <c r="D223" i="1"/>
  <c r="C223" i="1"/>
  <c r="E222" i="1"/>
  <c r="D222" i="1"/>
  <c r="F222" i="1" s="1"/>
  <c r="C222" i="1"/>
  <c r="E217" i="1"/>
  <c r="B217" i="1"/>
  <c r="D216" i="1"/>
  <c r="C216" i="1"/>
  <c r="G213" i="1"/>
  <c r="C211" i="1"/>
  <c r="E210" i="1"/>
  <c r="D210" i="1"/>
  <c r="C210" i="1"/>
  <c r="F211" i="1" s="1"/>
  <c r="B208" i="1" s="1"/>
  <c r="A208" i="1" s="1"/>
  <c r="B209" i="1"/>
  <c r="E205" i="1"/>
  <c r="D205" i="1"/>
  <c r="C205" i="1"/>
  <c r="F205" i="1" s="1"/>
  <c r="B203" i="1" s="1"/>
  <c r="A203" i="1" s="1"/>
  <c r="B204" i="1"/>
  <c r="E200" i="1"/>
  <c r="D200" i="1"/>
  <c r="C200" i="1"/>
  <c r="B200" i="1"/>
  <c r="B199" i="1"/>
  <c r="E195" i="1"/>
  <c r="D195" i="1"/>
  <c r="F195" i="1" s="1"/>
  <c r="B193" i="1" s="1"/>
  <c r="A193" i="1" s="1"/>
  <c r="C195" i="1"/>
  <c r="B194" i="1"/>
  <c r="E190" i="1"/>
  <c r="D190" i="1"/>
  <c r="C190" i="1"/>
  <c r="E189" i="1"/>
  <c r="D189" i="1"/>
  <c r="C189" i="1"/>
  <c r="F189" i="1" s="1"/>
  <c r="B188" i="1"/>
  <c r="E184" i="1"/>
  <c r="D184" i="1"/>
  <c r="C184" i="1"/>
  <c r="B183" i="1"/>
  <c r="E179" i="1"/>
  <c r="D179" i="1"/>
  <c r="C179" i="1"/>
  <c r="F179" i="1" s="1"/>
  <c r="E178" i="1"/>
  <c r="D178" i="1"/>
  <c r="C178" i="1"/>
  <c r="E177" i="1"/>
  <c r="D177" i="1"/>
  <c r="C177" i="1"/>
  <c r="F177" i="1" s="1"/>
  <c r="B176" i="1"/>
  <c r="E172" i="1"/>
  <c r="D172" i="1"/>
  <c r="C172" i="1"/>
  <c r="E171" i="1"/>
  <c r="D171" i="1"/>
  <c r="F171" i="1" s="1"/>
  <c r="C171" i="1"/>
  <c r="E170" i="1"/>
  <c r="D170" i="1"/>
  <c r="C170" i="1"/>
  <c r="B169" i="1"/>
  <c r="D165" i="1"/>
  <c r="B165" i="1"/>
  <c r="D164" i="1"/>
  <c r="B164" i="1"/>
  <c r="C162" i="1"/>
  <c r="F165" i="1" s="1"/>
  <c r="B162" i="1"/>
  <c r="B161" i="1"/>
  <c r="C160" i="1"/>
  <c r="B160" i="1"/>
  <c r="B159" i="1"/>
  <c r="D155" i="1"/>
  <c r="B155" i="1"/>
  <c r="C154" i="1"/>
  <c r="F155" i="1" s="1"/>
  <c r="B152" i="1" s="1"/>
  <c r="A152" i="1" s="1"/>
  <c r="B154" i="1"/>
  <c r="B153" i="1"/>
  <c r="D149" i="1"/>
  <c r="B149" i="1"/>
  <c r="C148" i="1"/>
  <c r="F149" i="1" s="1"/>
  <c r="B146" i="1" s="1"/>
  <c r="A146" i="1" s="1"/>
  <c r="B148" i="1"/>
  <c r="B147" i="1"/>
  <c r="D143" i="1"/>
  <c r="B143" i="1"/>
  <c r="F142" i="1"/>
  <c r="C142" i="1"/>
  <c r="B142" i="1"/>
  <c r="C141" i="1"/>
  <c r="B141" i="1"/>
  <c r="B140" i="1"/>
  <c r="B139" i="1"/>
  <c r="A139" i="1" s="1"/>
  <c r="G136" i="1"/>
  <c r="D134" i="1"/>
  <c r="B134" i="1"/>
  <c r="D133" i="1"/>
  <c r="B133" i="1"/>
  <c r="B132" i="1"/>
  <c r="C131" i="1"/>
  <c r="B131" i="1"/>
  <c r="C130" i="1"/>
  <c r="B130" i="1"/>
  <c r="B129" i="1"/>
  <c r="D125" i="1"/>
  <c r="B125" i="1"/>
  <c r="F124" i="1"/>
  <c r="B121" i="1" s="1"/>
  <c r="A121" i="1" s="1"/>
  <c r="D124" i="1"/>
  <c r="B124" i="1"/>
  <c r="C123" i="1"/>
  <c r="B123" i="1"/>
  <c r="D118" i="1"/>
  <c r="B118" i="1"/>
  <c r="C117" i="1"/>
  <c r="F118" i="1" s="1"/>
  <c r="B115" i="1" s="1"/>
  <c r="A115" i="1" s="1"/>
  <c r="B117" i="1"/>
  <c r="B116" i="1"/>
  <c r="D112" i="1"/>
  <c r="B112" i="1"/>
  <c r="F111" i="1"/>
  <c r="D111" i="1"/>
  <c r="B111" i="1"/>
  <c r="C110" i="1"/>
  <c r="B110" i="1"/>
  <c r="B109" i="1"/>
  <c r="B108" i="1"/>
  <c r="A108" i="1" s="1"/>
  <c r="D105" i="1"/>
  <c r="C104" i="1"/>
  <c r="B104" i="1"/>
  <c r="D103" i="1"/>
  <c r="C102" i="1"/>
  <c r="F105" i="1" s="1"/>
  <c r="B102" i="1"/>
  <c r="D98" i="1"/>
  <c r="B98" i="1"/>
  <c r="D97" i="1"/>
  <c r="F98" i="1" s="1"/>
  <c r="B97" i="1"/>
  <c r="D96" i="1"/>
  <c r="B96" i="1"/>
  <c r="D95" i="1"/>
  <c r="F96" i="1" s="1"/>
  <c r="B95" i="1"/>
  <c r="B94" i="1"/>
  <c r="A94" i="1" s="1"/>
  <c r="D91" i="1"/>
  <c r="B91" i="1"/>
  <c r="C90" i="1"/>
  <c r="F91" i="1" s="1"/>
  <c r="B89" i="1" s="1"/>
  <c r="B90" i="1"/>
  <c r="A89" i="1"/>
  <c r="D86" i="1"/>
  <c r="B86" i="1"/>
  <c r="D85" i="1"/>
  <c r="B85" i="1"/>
  <c r="C84" i="1"/>
  <c r="F86" i="1" s="1"/>
  <c r="B84" i="1"/>
  <c r="C83" i="1"/>
  <c r="F85" i="1" s="1"/>
  <c r="B83" i="1"/>
  <c r="D79" i="1"/>
  <c r="D78" i="1"/>
  <c r="C77" i="1"/>
  <c r="B77" i="1"/>
  <c r="C76" i="1"/>
  <c r="F79" i="1" s="1"/>
  <c r="B76" i="1"/>
  <c r="D74" i="1"/>
  <c r="C74" i="1"/>
  <c r="D73" i="1"/>
  <c r="C73" i="1"/>
  <c r="D72" i="1"/>
  <c r="C72" i="1"/>
  <c r="D71" i="1"/>
  <c r="C71" i="1"/>
  <c r="D70" i="1"/>
  <c r="C70" i="1"/>
  <c r="D69" i="1"/>
  <c r="C69" i="1"/>
  <c r="D68" i="1"/>
  <c r="C68" i="1"/>
  <c r="D67" i="1"/>
  <c r="C67" i="1"/>
  <c r="D66" i="1"/>
  <c r="C66" i="1"/>
  <c r="D64" i="1"/>
  <c r="C64" i="1"/>
  <c r="D63" i="1"/>
  <c r="C63" i="1"/>
  <c r="D62" i="1"/>
  <c r="C62" i="1"/>
  <c r="D61" i="1"/>
  <c r="C61" i="1"/>
  <c r="D60" i="1"/>
  <c r="C60" i="1"/>
  <c r="D59" i="1"/>
  <c r="C59" i="1"/>
  <c r="D56" i="1"/>
  <c r="C56" i="1"/>
  <c r="D55" i="1"/>
  <c r="C55" i="1"/>
  <c r="D54" i="1"/>
  <c r="C54" i="1"/>
  <c r="D53" i="1"/>
  <c r="C53" i="1"/>
  <c r="D52" i="1"/>
  <c r="C52" i="1"/>
  <c r="D51" i="1"/>
  <c r="C51" i="1"/>
  <c r="D50" i="1"/>
  <c r="C50" i="1"/>
  <c r="D49" i="1"/>
  <c r="C49" i="1"/>
  <c r="D48" i="1"/>
  <c r="C48" i="1"/>
  <c r="D46" i="1"/>
  <c r="C46" i="1"/>
  <c r="D45" i="1"/>
  <c r="C45" i="1"/>
  <c r="D44" i="1"/>
  <c r="C44" i="1"/>
  <c r="D43" i="1"/>
  <c r="C43" i="1"/>
  <c r="D42" i="1"/>
  <c r="C42" i="1"/>
  <c r="D41" i="1"/>
  <c r="C41" i="1"/>
  <c r="D36" i="1"/>
  <c r="C36" i="1"/>
  <c r="B36" i="1"/>
  <c r="D35" i="1"/>
  <c r="C35" i="1"/>
  <c r="F35" i="1" s="1"/>
  <c r="B35" i="1"/>
  <c r="G31" i="1"/>
  <c r="G7" i="1" s="1"/>
  <c r="D29" i="1"/>
  <c r="B29" i="1"/>
  <c r="C28" i="1"/>
  <c r="F29" i="1" s="1"/>
  <c r="B27" i="1" s="1"/>
  <c r="A27" i="1" s="1"/>
  <c r="B28" i="1"/>
  <c r="D24" i="1"/>
  <c r="C23" i="1"/>
  <c r="B23" i="1"/>
  <c r="D19" i="1"/>
  <c r="B19" i="1"/>
  <c r="C18" i="1"/>
  <c r="F19" i="1" s="1"/>
  <c r="B17" i="1" s="1"/>
  <c r="A17" i="1" s="1"/>
  <c r="B18" i="1"/>
  <c r="D14" i="1"/>
  <c r="C14" i="1"/>
  <c r="F14" i="1" s="1"/>
  <c r="B14" i="1"/>
  <c r="D13" i="1"/>
  <c r="C13" i="1"/>
  <c r="B13" i="1"/>
  <c r="B11" i="1"/>
  <c r="G9" i="1"/>
  <c r="A3" i="1"/>
  <c r="F13" i="1" l="1"/>
  <c r="B12" i="1" s="1"/>
  <c r="A12" i="1" s="1"/>
  <c r="F24" i="1"/>
  <c r="B22" i="1" s="1"/>
  <c r="A22" i="1" s="1"/>
  <c r="A9" i="1" s="1"/>
  <c r="F36" i="1"/>
  <c r="F41" i="1"/>
  <c r="F42" i="1"/>
  <c r="F43" i="1"/>
  <c r="F44" i="1"/>
  <c r="F45" i="1"/>
  <c r="F46" i="1"/>
  <c r="F48" i="1"/>
  <c r="F49" i="1"/>
  <c r="F50" i="1"/>
  <c r="F51" i="1"/>
  <c r="F52" i="1"/>
  <c r="F243" i="1"/>
  <c r="F320" i="1"/>
  <c r="F322" i="1"/>
  <c r="F324" i="1"/>
  <c r="F327" i="1"/>
  <c r="F329" i="1"/>
  <c r="F331" i="1"/>
  <c r="F333" i="1"/>
  <c r="F53" i="1"/>
  <c r="F54" i="1"/>
  <c r="F55" i="1"/>
  <c r="F56" i="1"/>
  <c r="F59" i="1"/>
  <c r="F60" i="1"/>
  <c r="F61" i="1"/>
  <c r="F62" i="1"/>
  <c r="F63" i="1"/>
  <c r="F64" i="1"/>
  <c r="F66" i="1"/>
  <c r="F67" i="1"/>
  <c r="F68" i="1"/>
  <c r="F69" i="1"/>
  <c r="F70" i="1"/>
  <c r="F71" i="1"/>
  <c r="F73" i="1"/>
  <c r="F74" i="1"/>
  <c r="F112" i="1"/>
  <c r="F125" i="1"/>
  <c r="F133" i="1"/>
  <c r="F134" i="1"/>
  <c r="F143" i="1"/>
  <c r="F164" i="1"/>
  <c r="B158" i="1" s="1"/>
  <c r="A158" i="1" s="1"/>
  <c r="F170" i="1"/>
  <c r="F172" i="1"/>
  <c r="F178" i="1"/>
  <c r="F184" i="1"/>
  <c r="B182" i="1" s="1"/>
  <c r="A182" i="1" s="1"/>
  <c r="F190" i="1"/>
  <c r="F200" i="1"/>
  <c r="B198" i="1" s="1"/>
  <c r="A198" i="1" s="1"/>
  <c r="F217" i="1"/>
  <c r="B215" i="1" s="1"/>
  <c r="A215" i="1" s="1"/>
  <c r="F223" i="1"/>
  <c r="B220" i="1" s="1"/>
  <c r="A220" i="1" s="1"/>
  <c r="F225" i="1"/>
  <c r="F227" i="1"/>
  <c r="F230" i="1"/>
  <c r="F232" i="1"/>
  <c r="F234" i="1"/>
  <c r="F236" i="1"/>
  <c r="F242" i="1"/>
  <c r="F244" i="1"/>
  <c r="F251" i="1"/>
  <c r="B248" i="1" s="1"/>
  <c r="A248" i="1" s="1"/>
  <c r="F276" i="1"/>
  <c r="F277" i="1"/>
  <c r="F278" i="1"/>
  <c r="F279" i="1"/>
  <c r="F280" i="1"/>
  <c r="F281" i="1"/>
  <c r="F283" i="1"/>
  <c r="F284" i="1"/>
  <c r="F285" i="1"/>
  <c r="F286" i="1"/>
  <c r="F287" i="1"/>
  <c r="F288" i="1"/>
  <c r="F289" i="1"/>
  <c r="F290" i="1"/>
  <c r="F291" i="1"/>
  <c r="F294" i="1"/>
  <c r="F295" i="1"/>
  <c r="F296" i="1"/>
  <c r="F297" i="1"/>
  <c r="F298" i="1"/>
  <c r="F299" i="1"/>
  <c r="F301" i="1"/>
  <c r="F302" i="1"/>
  <c r="F303" i="1"/>
  <c r="F304" i="1"/>
  <c r="F305" i="1"/>
  <c r="F306" i="1"/>
  <c r="F307" i="1"/>
  <c r="F308" i="1"/>
  <c r="F309" i="1"/>
  <c r="F319" i="1"/>
  <c r="F321" i="1"/>
  <c r="F323" i="1"/>
  <c r="F326" i="1"/>
  <c r="F328" i="1"/>
  <c r="F330" i="1"/>
  <c r="F332" i="1"/>
  <c r="F334" i="1"/>
  <c r="F343" i="1"/>
  <c r="B34" i="1"/>
  <c r="A34" i="1" s="1"/>
  <c r="F103" i="1"/>
  <c r="B101" i="1" s="1"/>
  <c r="A101" i="1" s="1"/>
  <c r="F72" i="1"/>
  <c r="F78" i="1"/>
  <c r="B39" i="1" s="1"/>
  <c r="A39" i="1" s="1"/>
  <c r="B82" i="1"/>
  <c r="A82" i="1" s="1"/>
  <c r="B175" i="1"/>
  <c r="A175" i="1" s="1"/>
  <c r="B187" i="1"/>
  <c r="A187" i="1" s="1"/>
  <c r="A253" i="1"/>
  <c r="B274" i="1"/>
  <c r="A274" i="1" s="1"/>
  <c r="B339" i="1"/>
  <c r="A339" i="1" s="1"/>
  <c r="A336" i="1" s="1"/>
  <c r="B317" i="1" l="1"/>
  <c r="A317" i="1" s="1"/>
  <c r="A272" i="1" s="1"/>
  <c r="B240" i="1"/>
  <c r="A240" i="1" s="1"/>
  <c r="A213" i="1" s="1"/>
  <c r="B168" i="1"/>
  <c r="A168" i="1" s="1"/>
  <c r="A136" i="1" s="1"/>
  <c r="B128" i="1"/>
  <c r="A128" i="1" s="1"/>
  <c r="A31" i="1"/>
  <c r="A7" i="1" l="1"/>
</calcChain>
</file>

<file path=xl/sharedStrings.xml><?xml version="1.0" encoding="utf-8"?>
<sst xmlns="http://schemas.openxmlformats.org/spreadsheetml/2006/main" count="306" uniqueCount="106">
  <si>
    <t>Fecha</t>
  </si>
  <si>
    <t>COMISIÓN ESTATAL DEL AGUA Y GESTIÓN DE CUENCAS</t>
  </si>
  <si>
    <t xml:space="preserve">CAPÍTULO VII
DE LOS ESTADOS E INFORMES CONTABLES, PRESUPUESTARIOS, PROGRAMÁTICOS Y DE LOS INDICADORES DE POSTURA </t>
  </si>
  <si>
    <t>Cruces</t>
  </si>
  <si>
    <t xml:space="preserve">REGLAS DE VALIDACIÓN ESTADOS FINANCIEROS </t>
  </si>
  <si>
    <t>Reglas de validación del Estados de Actividades (EA)</t>
  </si>
  <si>
    <t>EA</t>
  </si>
  <si>
    <t>ESF</t>
  </si>
  <si>
    <t>DIFERENCIA</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</si>
  <si>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</si>
  <si>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t>
  </si>
  <si>
    <t xml:space="preserve">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</si>
  <si>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Hacienda Pública / Patrimonio Generado Neto de 20XN-1</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</si>
  <si>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</si>
  <si>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Reglas de Validación del Estado de Situación Financiera (ESF)</t>
  </si>
  <si>
    <t>Las cifras de la fila de Resultados del Ejercicio (Ahorro/Desahorro) de las columnas 20XN y 20XN-1, deben ser las obtenidas en el Estado de Actividades en la fila y columnas mencionadas.</t>
  </si>
  <si>
    <t>Las cifras de las filas de los rubros del Activo de las columnas 20XN y 20XN-1, deben ser las mismas que se muestran en el Estado Analítico del Activo en las filas de Activo en las columnas de Saldo Final y de Saldo Inicial respectivamente.</t>
  </si>
  <si>
    <t>Activo Circulante</t>
  </si>
  <si>
    <t>ESF 20XN-1</t>
  </si>
  <si>
    <t xml:space="preserve">EAA SALDO INICIAL </t>
  </si>
  <si>
    <t>Efectivo y Equivalentes</t>
  </si>
  <si>
    <t>Derechos a Recibir Efectivos o Equivalentes</t>
  </si>
  <si>
    <t>Derechos a Recibir Bienes o Servicios</t>
  </si>
  <si>
    <t xml:space="preserve">Inventarios </t>
  </si>
  <si>
    <t xml:space="preserve">Almacenes </t>
  </si>
  <si>
    <t>Estmaciones por Pérdida o Deterioro de Activos Circulantes</t>
  </si>
  <si>
    <t>Activo No Circulante</t>
  </si>
  <si>
    <t>Inversiones Financieras a Largo Plazo</t>
  </si>
  <si>
    <t>Derechos a Recibir Efectivos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</si>
  <si>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</si>
  <si>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</si>
  <si>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</si>
  <si>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</si>
  <si>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</si>
  <si>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</si>
  <si>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Circulantes</t>
  </si>
  <si>
    <t>ESF 20XN</t>
  </si>
  <si>
    <t>EAA SALDO FINAL</t>
  </si>
  <si>
    <t xml:space="preserve">Activo saldo inicial </t>
  </si>
  <si>
    <t xml:space="preserve">Activo saldo final </t>
  </si>
  <si>
    <t>Las cifras de la fila de Efectivo y Equivalentes de las columnas 20XN y 20XN-1, deben ser las mismas que se muestran en el Estado de Flujos de Efectivo en la fila de Efectivo y Equivalentes al Efectivo al Final del Ejercicio en las columnas mencionadas.</t>
  </si>
  <si>
    <t>EFE</t>
  </si>
  <si>
    <t>La cifra de la fila de Efectivo y Equivalentes de la columna 20XN-1, debe ser la misma que se muestra en el Estado de Flujos de Efectivo en la fila de Efectivo y Equivalentes al Efectivo al Inicio del Ejercicio en la columna 20XN.</t>
  </si>
  <si>
    <t>Las cifras de la fila de Total del Activo de las columnas 20XN y 20XN-1, deben ser las mismas que se muestran en la fila de Total del Pasivo y Hacienda Pública/Patrimonio en las columnas mencionadas</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</si>
  <si>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</si>
  <si>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EADOP</t>
  </si>
  <si>
    <t xml:space="preserve">Total de Deuda y otros Pasivos Saldo Inicial del Periodo </t>
  </si>
  <si>
    <t xml:space="preserve">Total de Deuda y otros Pasivos Saldo Final  del Periodo </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</si>
  <si>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</si>
  <si>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r>
      <t>·</t>
    </r>
    <r>
      <rPr>
        <sz val="7"/>
        <rFont val="Times New Roman"/>
        <family val="1"/>
      </rPr>
      <t xml:space="preserve">            </t>
    </r>
    <r>
      <rPr>
        <sz val="9"/>
        <rFont val="Arial"/>
        <family val="2"/>
      </rPr>
      <t>La cifra de la fila de Hacienda Pública/Patrimonio Generado de la columna 20XN-1, debe ser la misma que se muestra en el Estado de Variación en la Hacienda Pública en la fila de Hacienda Pública/Patrimonio Generado Neto de 20XN-1 en la columna Total.</t>
    </r>
  </si>
  <si>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</si>
  <si>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Cambios en el Exceso O Insuficiencia en la Actualizacion de la Hacenda Pública/ Patrimonio Neto 20XN</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</si>
  <si>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</si>
  <si>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Reglas de validación del Estado de Variación en la Hacienda Pública (EVHP)</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</si>
  <si>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</si>
  <si>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La cifra de la fila de Hacienda Pública/Patrimonio Generado Neto de 20XN-1 de la columna Total, debe ser la misma que se muestra en el Estado de Situación Financiera en la fila de Hacienda Pública/Patrimonio Generado en la columna 20XN-1.</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</si>
  <si>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</si>
  <si>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</si>
  <si>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</si>
  <si>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ECSF/origen </t>
  </si>
  <si>
    <t>ECSF/Aplicación</t>
  </si>
  <si>
    <t xml:space="preserve">Aportaciones </t>
  </si>
  <si>
    <t>Donaciones de Capital</t>
  </si>
  <si>
    <t>Actualización de la Hacienda Pública /Patrimonio</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</si>
  <si>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</si>
  <si>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Revaluos / Columna Hacienda Pública/Patrimonio Generado del Ejercicio</t>
  </si>
  <si>
    <t>Reservas / Columna Hacienda Pública/Patrimonio Generado del Ejercicio</t>
  </si>
  <si>
    <t>Rectificaciones de Resultados de ejercicios anteriores / Columna Hacienda Pública/Patrimonio Generado del Ejercicio</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</si>
  <si>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</si>
  <si>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 xml:space="preserve">Resultados de Ejercicios Anteriores </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</si>
  <si>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</si>
  <si>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 xml:space="preserve">Resultado por posición monetaría </t>
  </si>
  <si>
    <t xml:space="preserve">Resultado por tenencia de activos no monetarios </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</si>
  <si>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</si>
  <si>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Resultado del Ejercicio (Ahorro/Desahorro)</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</si>
  <si>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</si>
  <si>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</si>
  <si>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</si>
  <si>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 xml:space="preserve">Resultado del Ejercicio (Ahorro/Desahorro)/ Columna Hacienda Pública/Patrimonio Generado del Ejercicio </t>
  </si>
  <si>
    <t xml:space="preserve">Resultado del ejercicios anteriores/ Columna Hacienda Pública/Patrimonio Generado del Ejercicio </t>
  </si>
  <si>
    <t>Reglas de validación del Estado de Cambios en la Situación Financiera (ECSF)</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</si>
  <si>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</si>
  <si>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 xml:space="preserve">Efectivo y Equivalentes  </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</si>
  <si>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</si>
  <si>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EAA</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</si>
  <si>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</si>
  <si>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Revalúos</t>
  </si>
  <si>
    <t>Reservas</t>
  </si>
  <si>
    <t>Rectificaciones de Resultados de Ejercicios Anteriores</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</si>
  <si>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</si>
  <si>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Resultados del Ejercicio Ahorro / Desahorro</t>
  </si>
  <si>
    <t>Resultados de Ejercicios Anteriores</t>
  </si>
  <si>
    <t>Reglas de validación del Estado de Flujos de Efectivo (EFE)</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</si>
  <si>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</si>
  <si>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 xml:space="preserve">Efectivo y Equivalentes </t>
  </si>
  <si>
    <t>Las cifras de la fila de Efectivo y Equivalentes al Efectivo al Final del Ejercicio de las columnas 20XN y 20XN-1, deben ser las mismas que se muestran en el Estado de Situación Financiera en la fila de Efectivo y Equivalentes en las columnas mencionadas.</t>
  </si>
  <si>
    <t>La cifra de la fila de Efectivo y Equivalentes al Efectivo al Inicio del Ejercicio de la columna 20XN, debe ser la misma que se muestra en el Estado de Situación Financiera en la fila de Efectivo y Equivalentes de la columna 20XN-1.</t>
  </si>
  <si>
    <t>Reglas de validación del Estado Analitico del Activo (EAA)</t>
  </si>
  <si>
    <t>Las cifras de las filas de los rubros de Activo de las columnas de Saldo Final y de Saldo Inicial, deben ser las mismas que se muestran en el Estado de Situación Financiera en las filas de los rubros del Activo de las columnas 20XN y 20XN-1 respectivamente.</t>
  </si>
  <si>
    <t>Las cifras de las filas de los rubros de Activo de la columna de Variación del Periodo, deben ser las mismas que se muestran en el Estado de Cambios en la Situación Financiera en las filas de los rubros del Activo en las columnas de Origen o Aplicación.</t>
  </si>
  <si>
    <t>Reglas de validación del Estado Analitico de la Deuda y Otros Pasivos (EADOP)</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</si>
  <si>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</si>
  <si>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EADP</t>
  </si>
  <si>
    <t xml:space="preserve">DIFERENCIA </t>
  </si>
  <si>
    <t>Total de Deuda Pública y Otros Pasivos Saldo Inicial</t>
  </si>
  <si>
    <t xml:space="preserve">Total de Deuda Pública y Otros Pasivos Saldo Final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</si>
</sst>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Red]\-#,##0\ "/>
    <numFmt numFmtId="165" formatCode="_(&quot;$&quot;* #,##0.00_);_(&quot;$&quot;* \(#,##0.00\);_(&quot;$&quot;* &quot;-&quot;??_);_(@_)"/>
    <numFmt numFmtId="166" formatCode="#,##0.00_ ;[Red]\-#,##0.00\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2"/>
      <name val="Arial"/>
      <family val="2"/>
    </font>
    <font>
      <b/>
      <sz val="13"/>
      <color theme="1"/>
      <name val="Calibri"/>
      <family val="2"/>
      <scheme val="minor"/>
    </font>
    <font>
      <b/>
      <sz val="20"/>
      <color rgb="FF00B050"/>
      <name val="Wingdings 2"/>
      <family val="1"/>
      <charset val="2"/>
    </font>
    <font>
      <sz val="20"/>
      <name val="Arial"/>
      <family val="2"/>
    </font>
    <font>
      <sz val="7"/>
      <name val="Times New Roman"/>
      <family val="1"/>
    </font>
    <font>
      <sz val="9"/>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5" fontId="3" fillId="0" borderId="0" applyFont="0" applyFill="0" applyBorder="0" applyAlignment="0" applyProtection="0"/>
    <xf numFmtId="165" fontId="3" fillId="0" borderId="0" applyFont="0" applyFill="0" applyBorder="0" applyAlignment="0" applyProtection="0"/>
  </cellStyleXfs>
  <cellXfs count="96">
    <xf numFmtId="0" fontId="0" fillId="0" borderId="0" xfId="0"/>
    <xf numFmtId="0" fontId="4" fillId="2" borderId="1" xfId="1" applyFont="1" applyFill="1" applyBorder="1" applyAlignment="1">
      <alignment horizontal="center" vertical="center"/>
    </xf>
    <xf numFmtId="164" fontId="3" fillId="0" borderId="0" xfId="1" applyNumberFormat="1"/>
    <xf numFmtId="164" fontId="3" fillId="0" borderId="0" xfId="1" applyNumberFormat="1" applyFont="1"/>
    <xf numFmtId="164" fontId="2" fillId="0" borderId="0" xfId="1" applyNumberFormat="1" applyFont="1"/>
    <xf numFmtId="0" fontId="3" fillId="0" borderId="0" xfId="1" applyAlignment="1">
      <alignment horizontal="center" vertical="center"/>
    </xf>
    <xf numFmtId="0" fontId="3" fillId="0" borderId="0" xfId="1"/>
    <xf numFmtId="15" fontId="3" fillId="2" borderId="1" xfId="1" applyNumberFormat="1" applyFill="1" applyBorder="1" applyAlignment="1" applyProtection="1">
      <alignment horizontal="center" vertical="center"/>
      <protection locked="0"/>
    </xf>
    <xf numFmtId="0" fontId="3" fillId="2" borderId="1" xfId="1" applyFill="1" applyBorder="1" applyAlignment="1">
      <alignment horizontal="center" vertical="center"/>
    </xf>
    <xf numFmtId="164" fontId="4" fillId="0" borderId="0" xfId="1" applyNumberFormat="1" applyFont="1" applyAlignment="1">
      <alignment horizontal="left" vertical="center"/>
    </xf>
    <xf numFmtId="164" fontId="4" fillId="0" borderId="0" xfId="1" applyNumberFormat="1" applyFont="1" applyAlignment="1">
      <alignment horizontal="center" vertical="center"/>
    </xf>
    <xf numFmtId="164" fontId="3" fillId="0" borderId="0" xfId="1" applyNumberFormat="1" applyAlignment="1">
      <alignment horizontal="left" vertical="center"/>
    </xf>
    <xf numFmtId="164" fontId="2" fillId="0" borderId="0" xfId="1" applyNumberFormat="1" applyFont="1" applyAlignment="1">
      <alignment horizontal="center" vertical="center"/>
    </xf>
    <xf numFmtId="164" fontId="3" fillId="0" borderId="0" xfId="1" applyNumberFormat="1" applyFont="1" applyAlignment="1">
      <alignment horizontal="left" vertical="center"/>
    </xf>
    <xf numFmtId="166" fontId="0" fillId="0" borderId="1" xfId="2" applyNumberFormat="1" applyFont="1" applyBorder="1" applyAlignment="1">
      <alignment horizontal="right" vertical="center"/>
    </xf>
    <xf numFmtId="166" fontId="3" fillId="0" borderId="1" xfId="2" applyNumberFormat="1" applyFont="1" applyBorder="1" applyAlignment="1">
      <alignment horizontal="right" vertical="center"/>
    </xf>
    <xf numFmtId="164" fontId="7" fillId="0" borderId="0" xfId="1" applyNumberFormat="1" applyFont="1" applyAlignment="1">
      <alignment horizontal="left" vertical="center"/>
    </xf>
    <xf numFmtId="166" fontId="2" fillId="0" borderId="0" xfId="2" applyNumberFormat="1" applyFont="1" applyAlignment="1">
      <alignment horizontal="right" vertical="center"/>
    </xf>
    <xf numFmtId="164" fontId="3" fillId="0" borderId="0" xfId="1" applyNumberFormat="1" applyAlignment="1">
      <alignment horizontal="center"/>
    </xf>
    <xf numFmtId="164" fontId="3" fillId="0" borderId="0" xfId="1" applyNumberFormat="1" applyAlignment="1">
      <alignment horizontal="center" vertical="center"/>
    </xf>
    <xf numFmtId="164" fontId="3" fillId="0" borderId="0" xfId="1" applyNumberFormat="1" applyFont="1" applyAlignment="1">
      <alignment horizontal="center" vertical="center"/>
    </xf>
    <xf numFmtId="166" fontId="3" fillId="0" borderId="1" xfId="1" applyNumberFormat="1" applyBorder="1"/>
    <xf numFmtId="164" fontId="0" fillId="4" borderId="1" xfId="3" applyNumberFormat="1" applyFont="1" applyFill="1" applyBorder="1" applyAlignment="1">
      <alignment horizontal="center"/>
    </xf>
    <xf numFmtId="166" fontId="3" fillId="0" borderId="1" xfId="1" applyNumberFormat="1" applyFont="1" applyBorder="1"/>
    <xf numFmtId="164" fontId="7" fillId="0" borderId="0" xfId="1" applyNumberFormat="1" applyFont="1"/>
    <xf numFmtId="166" fontId="2" fillId="0" borderId="0" xfId="3" applyNumberFormat="1" applyFont="1"/>
    <xf numFmtId="164" fontId="3" fillId="0" borderId="0" xfId="1" applyNumberFormat="1" applyAlignment="1">
      <alignment horizontal="left"/>
    </xf>
    <xf numFmtId="166" fontId="0" fillId="0" borderId="1" xfId="3" applyNumberFormat="1" applyFont="1" applyBorder="1" applyAlignment="1">
      <alignment horizontal="center"/>
    </xf>
    <xf numFmtId="166" fontId="2" fillId="0" borderId="0" xfId="1" applyNumberFormat="1" applyFont="1"/>
    <xf numFmtId="164" fontId="4" fillId="0" borderId="0" xfId="1" applyNumberFormat="1" applyFont="1" applyAlignment="1">
      <alignment horizontal="left" vertical="top"/>
    </xf>
    <xf numFmtId="164" fontId="3" fillId="0" borderId="0" xfId="1" applyNumberFormat="1" applyFont="1" applyAlignment="1">
      <alignment horizontal="left" vertical="top"/>
    </xf>
    <xf numFmtId="166" fontId="1" fillId="0" borderId="0" xfId="1" applyNumberFormat="1" applyFont="1"/>
    <xf numFmtId="164" fontId="3" fillId="0" borderId="0" xfId="1" applyNumberFormat="1" applyAlignment="1">
      <alignment horizontal="left" vertical="top"/>
    </xf>
    <xf numFmtId="4" fontId="0" fillId="0" borderId="3" xfId="2" applyNumberFormat="1" applyFont="1" applyBorder="1"/>
    <xf numFmtId="4" fontId="3" fillId="4" borderId="3" xfId="1" applyNumberFormat="1" applyFont="1" applyFill="1" applyBorder="1"/>
    <xf numFmtId="4" fontId="0" fillId="0" borderId="6" xfId="2" applyNumberFormat="1" applyFont="1" applyBorder="1"/>
    <xf numFmtId="4" fontId="3" fillId="4" borderId="3" xfId="1" applyNumberFormat="1" applyFill="1" applyBorder="1"/>
    <xf numFmtId="4" fontId="3" fillId="0" borderId="1" xfId="2" applyNumberFormat="1" applyFont="1" applyBorder="1"/>
    <xf numFmtId="4" fontId="3" fillId="4" borderId="1" xfId="1" applyNumberFormat="1" applyFill="1" applyBorder="1"/>
    <xf numFmtId="164" fontId="8" fillId="4" borderId="1" xfId="1" applyNumberFormat="1" applyFont="1" applyFill="1" applyBorder="1"/>
    <xf numFmtId="164" fontId="3" fillId="0" borderId="0" xfId="1" applyNumberFormat="1" applyAlignment="1">
      <alignment wrapText="1"/>
    </xf>
    <xf numFmtId="164" fontId="3" fillId="0" borderId="0" xfId="1" applyNumberFormat="1" applyFont="1" applyAlignment="1">
      <alignment horizontal="left"/>
    </xf>
    <xf numFmtId="164" fontId="3" fillId="4" borderId="1" xfId="1" applyNumberFormat="1" applyFont="1" applyFill="1" applyBorder="1"/>
    <xf numFmtId="164" fontId="3" fillId="4" borderId="7" xfId="1" applyNumberFormat="1" applyFill="1" applyBorder="1"/>
    <xf numFmtId="166" fontId="3" fillId="0" borderId="7" xfId="1" applyNumberFormat="1" applyFont="1" applyBorder="1"/>
    <xf numFmtId="164" fontId="1" fillId="0" borderId="0" xfId="1" applyNumberFormat="1" applyFont="1"/>
    <xf numFmtId="164" fontId="3" fillId="4" borderId="1" xfId="1" applyNumberFormat="1" applyFill="1" applyBorder="1"/>
    <xf numFmtId="164" fontId="3" fillId="0" borderId="0" xfId="1" applyNumberFormat="1" applyAlignment="1">
      <alignment horizontal="center" vertical="top"/>
    </xf>
    <xf numFmtId="166" fontId="3" fillId="0" borderId="3" xfId="1" applyNumberFormat="1" applyBorder="1"/>
    <xf numFmtId="164" fontId="3" fillId="4" borderId="3" xfId="1" applyNumberFormat="1" applyFill="1" applyBorder="1"/>
    <xf numFmtId="164" fontId="3" fillId="5" borderId="0" xfId="1" applyNumberFormat="1" applyFont="1" applyFill="1"/>
    <xf numFmtId="164" fontId="3" fillId="4" borderId="0" xfId="1" applyNumberFormat="1" applyFont="1" applyFill="1"/>
    <xf numFmtId="166" fontId="3" fillId="0" borderId="6" xfId="1" applyNumberFormat="1" applyBorder="1"/>
    <xf numFmtId="166" fontId="3" fillId="4" borderId="1" xfId="1" applyNumberFormat="1" applyFont="1" applyFill="1" applyBorder="1"/>
    <xf numFmtId="166" fontId="3" fillId="0" borderId="0" xfId="1" applyNumberFormat="1" applyFont="1"/>
    <xf numFmtId="166" fontId="3" fillId="4" borderId="1" xfId="1" applyNumberFormat="1" applyFill="1" applyBorder="1"/>
    <xf numFmtId="166" fontId="3" fillId="0" borderId="0" xfId="1" applyNumberFormat="1"/>
    <xf numFmtId="166" fontId="3" fillId="6" borderId="1" xfId="1" applyNumberFormat="1" applyFont="1" applyFill="1" applyBorder="1"/>
    <xf numFmtId="164" fontId="3" fillId="5" borderId="0" xfId="1" applyNumberFormat="1" applyFill="1"/>
    <xf numFmtId="164" fontId="3" fillId="0" borderId="0" xfId="1" applyNumberFormat="1" applyAlignment="1">
      <alignment vertical="top"/>
    </xf>
    <xf numFmtId="166" fontId="3" fillId="4" borderId="9" xfId="1" applyNumberFormat="1" applyFont="1" applyFill="1" applyBorder="1"/>
    <xf numFmtId="166" fontId="3" fillId="4" borderId="0" xfId="1" applyNumberFormat="1" applyFill="1"/>
    <xf numFmtId="166" fontId="3" fillId="6" borderId="1" xfId="1" applyNumberFormat="1" applyFill="1" applyBorder="1"/>
    <xf numFmtId="166" fontId="3" fillId="5" borderId="0" xfId="1" applyNumberFormat="1" applyFont="1" applyFill="1"/>
    <xf numFmtId="166" fontId="3" fillId="5" borderId="1" xfId="1" applyNumberFormat="1" applyFont="1" applyFill="1" applyBorder="1"/>
    <xf numFmtId="166" fontId="3" fillId="5" borderId="1" xfId="1" applyNumberFormat="1" applyFill="1" applyBorder="1"/>
    <xf numFmtId="164" fontId="3" fillId="0" borderId="0" xfId="1" applyNumberFormat="1" applyAlignment="1">
      <alignment vertical="top" wrapText="1"/>
    </xf>
    <xf numFmtId="0" fontId="3" fillId="0" borderId="0" xfId="1" applyAlignment="1">
      <alignment horizontal="center"/>
    </xf>
    <xf numFmtId="166" fontId="3" fillId="7" borderId="3" xfId="1" applyNumberFormat="1" applyFont="1" applyFill="1" applyBorder="1"/>
    <xf numFmtId="166" fontId="3" fillId="7" borderId="1" xfId="1" applyNumberFormat="1" applyFill="1" applyBorder="1"/>
    <xf numFmtId="166" fontId="3" fillId="7" borderId="1" xfId="1" applyNumberFormat="1" applyFont="1" applyFill="1" applyBorder="1"/>
    <xf numFmtId="166" fontId="3" fillId="7" borderId="3" xfId="1" applyNumberFormat="1" applyFill="1" applyBorder="1"/>
    <xf numFmtId="164" fontId="3" fillId="6" borderId="1" xfId="1" applyNumberFormat="1" applyFont="1" applyFill="1" applyBorder="1"/>
    <xf numFmtId="164" fontId="3" fillId="6" borderId="1" xfId="1" applyNumberFormat="1" applyFill="1" applyBorder="1"/>
    <xf numFmtId="164" fontId="6" fillId="3" borderId="8" xfId="1" applyNumberFormat="1" applyFont="1" applyFill="1" applyBorder="1" applyAlignment="1">
      <alignment horizontal="center"/>
    </xf>
    <xf numFmtId="164" fontId="3" fillId="0" borderId="3"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4" fontId="3" fillId="0" borderId="5" xfId="1" applyNumberFormat="1" applyFont="1" applyBorder="1" applyAlignment="1">
      <alignment horizontal="center" vertical="center" wrapText="1"/>
    </xf>
    <xf numFmtId="164" fontId="6" fillId="3" borderId="0" xfId="1" applyNumberFormat="1" applyFont="1" applyFill="1" applyAlignment="1">
      <alignment horizontal="center"/>
    </xf>
    <xf numFmtId="164" fontId="3" fillId="0" borderId="6" xfId="1" applyNumberFormat="1" applyFont="1" applyBorder="1" applyAlignment="1">
      <alignment horizontal="center" vertical="center" wrapText="1"/>
    </xf>
    <xf numFmtId="164" fontId="3" fillId="0" borderId="10" xfId="1" applyNumberFormat="1" applyFont="1" applyBorder="1" applyAlignment="1">
      <alignment horizontal="center" vertical="center" wrapText="1"/>
    </xf>
    <xf numFmtId="164" fontId="3" fillId="0" borderId="11" xfId="1" applyNumberFormat="1" applyFont="1" applyBorder="1" applyAlignment="1">
      <alignment horizontal="center" vertical="center" wrapText="1"/>
    </xf>
    <xf numFmtId="164" fontId="3" fillId="0" borderId="12" xfId="1" applyNumberFormat="1" applyFont="1" applyBorder="1" applyAlignment="1">
      <alignment horizontal="center" vertical="center" wrapText="1"/>
    </xf>
    <xf numFmtId="164" fontId="3" fillId="0" borderId="8" xfId="1" applyNumberFormat="1" applyFont="1" applyBorder="1" applyAlignment="1">
      <alignment horizontal="center" vertical="center" wrapText="1"/>
    </xf>
    <xf numFmtId="164" fontId="3" fillId="0" borderId="13" xfId="1" applyNumberFormat="1" applyFont="1" applyBorder="1" applyAlignment="1">
      <alignment horizontal="center" vertical="center" wrapText="1"/>
    </xf>
    <xf numFmtId="164" fontId="3" fillId="0" borderId="4" xfId="1" applyNumberFormat="1" applyBorder="1" applyAlignment="1">
      <alignment horizontal="center" vertical="center" wrapText="1"/>
    </xf>
    <xf numFmtId="164" fontId="3" fillId="0" borderId="5" xfId="1" applyNumberFormat="1" applyBorder="1" applyAlignment="1">
      <alignment horizontal="center" vertical="center" wrapText="1"/>
    </xf>
    <xf numFmtId="164" fontId="3" fillId="0" borderId="8" xfId="1" applyNumberFormat="1" applyBorder="1" applyAlignment="1">
      <alignment horizontal="center" vertical="center" wrapText="1"/>
    </xf>
    <xf numFmtId="164" fontId="3" fillId="0" borderId="3" xfId="1" applyNumberFormat="1" applyBorder="1" applyAlignment="1">
      <alignment horizontal="center" vertical="center" wrapText="1"/>
    </xf>
    <xf numFmtId="164" fontId="5" fillId="2" borderId="2" xfId="1" applyNumberFormat="1" applyFont="1" applyFill="1" applyBorder="1" applyAlignment="1" applyProtection="1">
      <alignment horizontal="center" vertical="center"/>
      <protection locked="0"/>
    </xf>
    <xf numFmtId="164" fontId="5" fillId="2" borderId="0" xfId="1" applyNumberFormat="1" applyFont="1" applyFill="1" applyAlignment="1" applyProtection="1">
      <alignment horizontal="center" vertical="center"/>
      <protection locked="0"/>
    </xf>
    <xf numFmtId="164" fontId="6" fillId="0" borderId="0" xfId="1" applyNumberFormat="1" applyFont="1" applyAlignment="1">
      <alignment horizontal="center" vertical="center" wrapText="1"/>
    </xf>
    <xf numFmtId="164" fontId="6" fillId="0" borderId="0" xfId="1" applyNumberFormat="1" applyFont="1" applyAlignment="1">
      <alignment horizontal="center"/>
    </xf>
    <xf numFmtId="164" fontId="3" fillId="0" borderId="3" xfId="1" applyNumberFormat="1" applyFont="1" applyBorder="1" applyAlignment="1">
      <alignment horizontal="center" vertical="top" wrapText="1"/>
    </xf>
    <xf numFmtId="164" fontId="3" fillId="0" borderId="4" xfId="1" applyNumberFormat="1" applyFont="1" applyBorder="1" applyAlignment="1">
      <alignment horizontal="center" vertical="top" wrapText="1"/>
    </xf>
    <xf numFmtId="164" fontId="3" fillId="0" borderId="5" xfId="1" applyNumberFormat="1" applyFont="1" applyBorder="1" applyAlignment="1">
      <alignment horizontal="center" vertical="top" wrapText="1"/>
    </xf>
  </cellXfs>
  <cellStyles count="4">
    <cellStyle name="Millares 2" xfId="2"/>
    <cellStyle name="Moneda 2" xfId="3"/>
    <cellStyle name="Normal" xfId="0" builtinId="0"/>
    <cellStyle name="Normal 2" xfId="1"/>
  </cellStyles>
  <dxfs count="47">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lasDeValidacion_3112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ALIDACIÓN"/>
      <sheetName val="EA"/>
      <sheetName val="ESF"/>
      <sheetName val="EVHP"/>
      <sheetName val="ECSF"/>
      <sheetName val="EAA"/>
      <sheetName val="EFE"/>
      <sheetName val="EADOP"/>
    </sheetNames>
    <sheetDataSet>
      <sheetData sheetId="0">
        <row r="3">
          <cell r="A3">
            <v>2023</v>
          </cell>
        </row>
      </sheetData>
      <sheetData sheetId="1">
        <row r="72">
          <cell r="F72">
            <v>280835742.06999993</v>
          </cell>
          <cell r="G72">
            <v>55735336.98999995</v>
          </cell>
        </row>
      </sheetData>
      <sheetData sheetId="2">
        <row r="11">
          <cell r="C11">
            <v>286428722.88</v>
          </cell>
          <cell r="D11">
            <v>68454764.030000001</v>
          </cell>
        </row>
        <row r="12">
          <cell r="C12">
            <v>475272204.17000002</v>
          </cell>
          <cell r="D12">
            <v>423776180.92000002</v>
          </cell>
        </row>
        <row r="13">
          <cell r="C13">
            <v>33770409.060000002</v>
          </cell>
          <cell r="D13">
            <v>12719140.210000001</v>
          </cell>
        </row>
        <row r="14">
          <cell r="C14">
            <v>0</v>
          </cell>
          <cell r="D14">
            <v>0</v>
          </cell>
        </row>
        <row r="15">
          <cell r="C15">
            <v>0</v>
          </cell>
          <cell r="D15">
            <v>0</v>
          </cell>
        </row>
        <row r="16">
          <cell r="C16">
            <v>0</v>
          </cell>
          <cell r="D16">
            <v>0</v>
          </cell>
        </row>
        <row r="22">
          <cell r="C22">
            <v>0</v>
          </cell>
          <cell r="D22">
            <v>0</v>
          </cell>
        </row>
        <row r="23">
          <cell r="C23">
            <v>0</v>
          </cell>
          <cell r="D23">
            <v>0</v>
          </cell>
        </row>
        <row r="24">
          <cell r="C24">
            <v>318906049.66000003</v>
          </cell>
          <cell r="D24">
            <v>42044335.450000003</v>
          </cell>
        </row>
        <row r="25">
          <cell r="C25">
            <v>22628301.899999999</v>
          </cell>
          <cell r="D25">
            <v>16834824.890000001</v>
          </cell>
        </row>
        <row r="26">
          <cell r="C26">
            <v>789429.81</v>
          </cell>
          <cell r="D26">
            <v>0</v>
          </cell>
        </row>
        <row r="27">
          <cell r="C27">
            <v>-8168245.6600000001</v>
          </cell>
          <cell r="D27">
            <v>-8168245.6600000001</v>
          </cell>
        </row>
        <row r="28">
          <cell r="C28">
            <v>0</v>
          </cell>
          <cell r="D28">
            <v>0</v>
          </cell>
        </row>
        <row r="29">
          <cell r="C29">
            <v>0</v>
          </cell>
          <cell r="D29">
            <v>0</v>
          </cell>
        </row>
        <row r="30">
          <cell r="C30">
            <v>0</v>
          </cell>
          <cell r="D30">
            <v>0</v>
          </cell>
        </row>
        <row r="32">
          <cell r="G32">
            <v>340713537.63999999</v>
          </cell>
          <cell r="H32">
            <v>47493971.93</v>
          </cell>
        </row>
        <row r="34">
          <cell r="C34">
            <v>1129626871.8199999</v>
          </cell>
          <cell r="D34">
            <v>555660999.84000003</v>
          </cell>
        </row>
        <row r="36">
          <cell r="H36">
            <v>0</v>
          </cell>
        </row>
        <row r="41">
          <cell r="H41">
            <v>508167027.90999997</v>
          </cell>
        </row>
        <row r="42">
          <cell r="G42">
            <v>280835742.06999999</v>
          </cell>
          <cell r="H42">
            <v>55735336.990000002</v>
          </cell>
        </row>
        <row r="48">
          <cell r="H48">
            <v>0</v>
          </cell>
        </row>
        <row r="52">
          <cell r="G52">
            <v>788913334.17999995</v>
          </cell>
          <cell r="H52">
            <v>508167027.90999997</v>
          </cell>
        </row>
        <row r="54">
          <cell r="G54">
            <v>1129626871.8199999</v>
          </cell>
          <cell r="H54">
            <v>555660999.84000003</v>
          </cell>
        </row>
      </sheetData>
      <sheetData sheetId="3">
        <row r="11">
          <cell r="D11">
            <v>0</v>
          </cell>
          <cell r="H11">
            <v>0</v>
          </cell>
        </row>
        <row r="16">
          <cell r="H16">
            <v>508167027.90999997</v>
          </cell>
        </row>
        <row r="17">
          <cell r="F17">
            <v>55735336.990000002</v>
          </cell>
        </row>
        <row r="23">
          <cell r="G23">
            <v>0</v>
          </cell>
          <cell r="H23">
            <v>0</v>
          </cell>
        </row>
        <row r="27">
          <cell r="H27">
            <v>508167027.90999997</v>
          </cell>
        </row>
        <row r="30">
          <cell r="D30">
            <v>0</v>
          </cell>
        </row>
        <row r="31">
          <cell r="D31">
            <v>0</v>
          </cell>
        </row>
        <row r="32">
          <cell r="D32">
            <v>0</v>
          </cell>
        </row>
        <row r="35">
          <cell r="F35">
            <v>280835742.06999999</v>
          </cell>
        </row>
        <row r="36">
          <cell r="E36">
            <v>55735336.99000001</v>
          </cell>
          <cell r="F36">
            <v>-55735336.990000002</v>
          </cell>
        </row>
        <row r="37">
          <cell r="F37">
            <v>0</v>
          </cell>
        </row>
        <row r="38">
          <cell r="F38">
            <v>0</v>
          </cell>
        </row>
        <row r="39">
          <cell r="F39">
            <v>-89435.800000011921</v>
          </cell>
        </row>
        <row r="42">
          <cell r="G42">
            <v>0</v>
          </cell>
        </row>
        <row r="43">
          <cell r="G43">
            <v>0</v>
          </cell>
        </row>
        <row r="45">
          <cell r="H45">
            <v>788913334.17999995</v>
          </cell>
        </row>
      </sheetData>
      <sheetData sheetId="4">
        <row r="11">
          <cell r="E11">
            <v>0</v>
          </cell>
          <cell r="F11">
            <v>217973958.84999999</v>
          </cell>
        </row>
        <row r="12">
          <cell r="E12">
            <v>0</v>
          </cell>
          <cell r="F12">
            <v>51496023.25</v>
          </cell>
        </row>
        <row r="13">
          <cell r="E13">
            <v>0</v>
          </cell>
          <cell r="F13">
            <v>21051268.850000001</v>
          </cell>
        </row>
        <row r="14">
          <cell r="E14">
            <v>0</v>
          </cell>
          <cell r="F14">
            <v>0</v>
          </cell>
        </row>
        <row r="15">
          <cell r="E15">
            <v>0</v>
          </cell>
          <cell r="F15">
            <v>0</v>
          </cell>
        </row>
        <row r="16">
          <cell r="E16">
            <v>0</v>
          </cell>
          <cell r="F16">
            <v>0</v>
          </cell>
        </row>
        <row r="20">
          <cell r="E20">
            <v>0</v>
          </cell>
          <cell r="F20">
            <v>0</v>
          </cell>
        </row>
        <row r="21">
          <cell r="E21">
            <v>0</v>
          </cell>
          <cell r="F21">
            <v>0</v>
          </cell>
        </row>
        <row r="22">
          <cell r="E22">
            <v>0</v>
          </cell>
          <cell r="F22">
            <v>276861714.21000004</v>
          </cell>
        </row>
        <row r="23">
          <cell r="E23">
            <v>0</v>
          </cell>
          <cell r="F23">
            <v>5793477.0099999979</v>
          </cell>
        </row>
        <row r="24">
          <cell r="E24">
            <v>0</v>
          </cell>
          <cell r="F24">
            <v>789429.81</v>
          </cell>
        </row>
        <row r="25">
          <cell r="E25">
            <v>0</v>
          </cell>
          <cell r="F25">
            <v>0</v>
          </cell>
        </row>
        <row r="26">
          <cell r="E26">
            <v>0</v>
          </cell>
          <cell r="F26">
            <v>0</v>
          </cell>
        </row>
        <row r="27">
          <cell r="E27">
            <v>0</v>
          </cell>
          <cell r="F27">
            <v>0</v>
          </cell>
        </row>
        <row r="28">
          <cell r="E28">
            <v>0</v>
          </cell>
          <cell r="F28">
            <v>0</v>
          </cell>
        </row>
        <row r="52">
          <cell r="E52">
            <v>0</v>
          </cell>
          <cell r="F52">
            <v>0</v>
          </cell>
        </row>
        <row r="53">
          <cell r="E53">
            <v>0</v>
          </cell>
          <cell r="F53">
            <v>0</v>
          </cell>
        </row>
        <row r="54">
          <cell r="E54">
            <v>0</v>
          </cell>
          <cell r="F54">
            <v>0</v>
          </cell>
        </row>
        <row r="57">
          <cell r="E57">
            <v>225100405.07999998</v>
          </cell>
          <cell r="F57">
            <v>0</v>
          </cell>
        </row>
        <row r="58">
          <cell r="E58">
            <v>55735336.99000001</v>
          </cell>
          <cell r="F58">
            <v>0</v>
          </cell>
        </row>
        <row r="59">
          <cell r="E59">
            <v>0</v>
          </cell>
          <cell r="F59">
            <v>0</v>
          </cell>
        </row>
        <row r="60">
          <cell r="E60">
            <v>0</v>
          </cell>
          <cell r="F60">
            <v>0</v>
          </cell>
        </row>
        <row r="61">
          <cell r="E61">
            <v>0</v>
          </cell>
          <cell r="F61">
            <v>89435.800000011921</v>
          </cell>
        </row>
        <row r="64">
          <cell r="E64">
            <v>0</v>
          </cell>
          <cell r="F64">
            <v>0</v>
          </cell>
        </row>
        <row r="65">
          <cell r="E65">
            <v>0</v>
          </cell>
          <cell r="F65">
            <v>0</v>
          </cell>
        </row>
      </sheetData>
      <sheetData sheetId="5">
        <row r="10">
          <cell r="D10">
            <v>555660999.84000003</v>
          </cell>
          <cell r="G10">
            <v>1129626871.8199999</v>
          </cell>
        </row>
        <row r="12">
          <cell r="D12">
            <v>68454764.030000001</v>
          </cell>
          <cell r="G12">
            <v>286428722.88</v>
          </cell>
          <cell r="H12">
            <v>217973958.84999999</v>
          </cell>
        </row>
        <row r="13">
          <cell r="D13">
            <v>423776180.92000002</v>
          </cell>
          <cell r="G13">
            <v>475272204.16999996</v>
          </cell>
          <cell r="H13">
            <v>51496023.24999994</v>
          </cell>
        </row>
        <row r="14">
          <cell r="D14">
            <v>12719140.210000001</v>
          </cell>
          <cell r="G14">
            <v>33770409.059999987</v>
          </cell>
          <cell r="H14">
            <v>21051268.849999987</v>
          </cell>
        </row>
        <row r="15">
          <cell r="D15">
            <v>0</v>
          </cell>
          <cell r="G15">
            <v>0</v>
          </cell>
          <cell r="H15">
            <v>0</v>
          </cell>
        </row>
        <row r="16">
          <cell r="D16">
            <v>0</v>
          </cell>
          <cell r="G16">
            <v>0</v>
          </cell>
          <cell r="H16">
            <v>0</v>
          </cell>
        </row>
        <row r="17">
          <cell r="D17">
            <v>0</v>
          </cell>
          <cell r="G17">
            <v>0</v>
          </cell>
          <cell r="H17">
            <v>0</v>
          </cell>
        </row>
        <row r="21">
          <cell r="D21">
            <v>0</v>
          </cell>
          <cell r="G21">
            <v>0</v>
          </cell>
          <cell r="H21">
            <v>0</v>
          </cell>
        </row>
        <row r="22">
          <cell r="D22">
            <v>0</v>
          </cell>
          <cell r="G22">
            <v>0</v>
          </cell>
          <cell r="H22">
            <v>0</v>
          </cell>
        </row>
        <row r="23">
          <cell r="D23">
            <v>42044335.450000003</v>
          </cell>
          <cell r="G23">
            <v>318906049.66000009</v>
          </cell>
          <cell r="H23">
            <v>276861714.2100001</v>
          </cell>
        </row>
        <row r="24">
          <cell r="D24">
            <v>16834824.890000001</v>
          </cell>
          <cell r="G24">
            <v>22628301.900000002</v>
          </cell>
          <cell r="H24">
            <v>5793477.0100000016</v>
          </cell>
        </row>
        <row r="25">
          <cell r="D25">
            <v>0</v>
          </cell>
          <cell r="G25">
            <v>789429.81</v>
          </cell>
          <cell r="H25">
            <v>789429.81</v>
          </cell>
        </row>
        <row r="26">
          <cell r="D26">
            <v>-8168245.6600000001</v>
          </cell>
          <cell r="G26">
            <v>-8168245.6600000001</v>
          </cell>
          <cell r="H26">
            <v>0</v>
          </cell>
        </row>
        <row r="27">
          <cell r="D27">
            <v>0</v>
          </cell>
          <cell r="G27">
            <v>0</v>
          </cell>
          <cell r="H27">
            <v>0</v>
          </cell>
        </row>
        <row r="28">
          <cell r="D28">
            <v>0</v>
          </cell>
          <cell r="G28">
            <v>0</v>
          </cell>
          <cell r="H28">
            <v>0</v>
          </cell>
        </row>
        <row r="29">
          <cell r="D29">
            <v>0</v>
          </cell>
          <cell r="G29">
            <v>0</v>
          </cell>
          <cell r="H29">
            <v>0</v>
          </cell>
        </row>
      </sheetData>
      <sheetData sheetId="6">
        <row r="66">
          <cell r="E66">
            <v>217973958.85000002</v>
          </cell>
        </row>
        <row r="68">
          <cell r="E68">
            <v>68454764.030000001</v>
          </cell>
        </row>
        <row r="70">
          <cell r="E70">
            <v>286428722.88</v>
          </cell>
          <cell r="F70">
            <v>68454764.030000001</v>
          </cell>
        </row>
      </sheetData>
      <sheetData sheetId="7">
        <row r="43">
          <cell r="I43">
            <v>47493971.93</v>
          </cell>
          <cell r="J43">
            <v>340713537.63999999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tabSelected="1" workbookViewId="0">
      <selection sqref="A1:XFD1048576"/>
    </sheetView>
  </sheetViews>
  <sheetFormatPr baseColWidth="10" defaultColWidth="11.42578125" defaultRowHeight="15" outlineLevelRow="1" x14ac:dyDescent="0.25"/>
  <cols>
    <col min="1" max="1" width="9.28515625" style="6" bestFit="1" customWidth="1"/>
    <col min="2" max="2" width="96.140625" style="2" customWidth="1"/>
    <col min="3" max="3" width="19.140625" style="2" customWidth="1"/>
    <col min="4" max="4" width="19.140625" style="3" customWidth="1"/>
    <col min="5" max="5" width="15.7109375" style="2" customWidth="1"/>
    <col min="6" max="6" width="18.5703125" style="4" customWidth="1"/>
    <col min="7" max="7" width="6.5703125" style="5" bestFit="1" customWidth="1"/>
    <col min="8" max="16384" width="11.42578125" style="6"/>
  </cols>
  <sheetData>
    <row r="1" spans="1:7" x14ac:dyDescent="0.25">
      <c r="A1" s="1" t="s">
        <v>0</v>
      </c>
    </row>
    <row r="2" spans="1:7" x14ac:dyDescent="0.25">
      <c r="A2" s="7">
        <v>45291</v>
      </c>
    </row>
    <row r="3" spans="1:7" ht="15" customHeight="1" x14ac:dyDescent="0.2">
      <c r="A3" s="8">
        <f>YEAR(A2)</f>
        <v>2023</v>
      </c>
      <c r="B3" s="89" t="s">
        <v>1</v>
      </c>
      <c r="C3" s="90"/>
      <c r="D3" s="90"/>
      <c r="E3" s="90"/>
      <c r="F3" s="90"/>
    </row>
    <row r="4" spans="1:7" ht="17.25" customHeight="1" x14ac:dyDescent="0.2">
      <c r="B4" s="91" t="s">
        <v>2</v>
      </c>
      <c r="C4" s="91"/>
      <c r="D4" s="91"/>
      <c r="E4" s="91"/>
      <c r="F4" s="91"/>
    </row>
    <row r="5" spans="1:7" ht="12.75" x14ac:dyDescent="0.2">
      <c r="B5" s="91"/>
      <c r="C5" s="91"/>
      <c r="D5" s="91"/>
      <c r="E5" s="91"/>
      <c r="F5" s="91"/>
    </row>
    <row r="6" spans="1:7" ht="12.75" x14ac:dyDescent="0.2">
      <c r="B6" s="91"/>
      <c r="C6" s="91"/>
      <c r="D6" s="91"/>
      <c r="E6" s="91"/>
      <c r="F6" s="91"/>
      <c r="G6" s="5" t="s">
        <v>3</v>
      </c>
    </row>
    <row r="7" spans="1:7" ht="17.25" x14ac:dyDescent="0.3">
      <c r="A7" s="5" t="str">
        <f>CONCATENATE(COUNTIF(A11:A344,"=1"),"/36")</f>
        <v>36/36</v>
      </c>
      <c r="B7" s="92" t="s">
        <v>4</v>
      </c>
      <c r="C7" s="92"/>
      <c r="D7" s="92"/>
      <c r="E7" s="92"/>
      <c r="F7" s="92"/>
      <c r="G7" s="5">
        <f>G336+G272+G253+G213+G136+G31+G9</f>
        <v>208</v>
      </c>
    </row>
    <row r="9" spans="1:7" ht="17.25" x14ac:dyDescent="0.3">
      <c r="A9" s="5" t="str">
        <f>CONCATENATE(COUNTIF(A12:A27,"=1"),"/4")</f>
        <v>4/4</v>
      </c>
      <c r="B9" s="78" t="s">
        <v>5</v>
      </c>
      <c r="C9" s="78"/>
      <c r="D9" s="78"/>
      <c r="E9" s="78"/>
      <c r="F9" s="78"/>
      <c r="G9" s="5">
        <f>SUM(G12:G29)</f>
        <v>5</v>
      </c>
    </row>
    <row r="10" spans="1:7" outlineLevel="1" x14ac:dyDescent="0.25"/>
    <row r="11" spans="1:7" ht="28.5" customHeight="1" outlineLevel="1" x14ac:dyDescent="0.2">
      <c r="B11" s="93" t="str">
        <f>"Las cifras de la fila de Resultados del Ejercicio (Ahorro/Desahorro) de las columnas 20XN y 20XN-1 deben ser las mismas que se muestranen el Estado de Situación Financiera en la fila y columnas mencionadas."</f>
        <v>Las cifras de la fila de Resultados del Ejercicio (Ahorro/Desahorro) de las columnas 20XN y 20XN-1 deben ser las mismas que se muestranen el Estado de Situación Financiera en la fila y columnas mencionadas.</v>
      </c>
      <c r="C11" s="94"/>
      <c r="D11" s="94"/>
      <c r="E11" s="94"/>
      <c r="F11" s="95"/>
    </row>
    <row r="12" spans="1:7" outlineLevel="1" x14ac:dyDescent="0.2">
      <c r="A12" s="5">
        <f>IF(B12="La regla se cumple",1,0)</f>
        <v>1</v>
      </c>
      <c r="B12" s="9" t="str">
        <f>IF(AND(F13=0,F14=0),"La regla se cumple", "La regla no se cumple, revise sus registros")</f>
        <v>La regla se cumple</v>
      </c>
      <c r="C12" s="10" t="s">
        <v>6</v>
      </c>
      <c r="D12" s="10" t="s">
        <v>7</v>
      </c>
      <c r="E12" s="11"/>
      <c r="F12" s="12" t="s">
        <v>8</v>
      </c>
    </row>
    <row r="13" spans="1:7" ht="15" customHeight="1" outlineLevel="1" x14ac:dyDescent="0.2">
      <c r="A13" s="5"/>
      <c r="B13" s="13" t="str">
        <f>"Resultados del Ejercicio (Ahorro/Desahorro) " &amp; '[1]R-VALIDACIÓN'!A3</f>
        <v>Resultados del Ejercicio (Ahorro/Desahorro) 2023</v>
      </c>
      <c r="C13" s="14">
        <f>ROUND([1]EA!F72,2)</f>
        <v>280835742.06999999</v>
      </c>
      <c r="D13" s="15">
        <f>ROUND([1]ESF!G42,2)</f>
        <v>280835742.06999999</v>
      </c>
      <c r="E13" s="16"/>
      <c r="F13" s="17">
        <f>C13-D13</f>
        <v>0</v>
      </c>
      <c r="G13" s="5">
        <v>1</v>
      </c>
    </row>
    <row r="14" spans="1:7" ht="15" customHeight="1" outlineLevel="1" x14ac:dyDescent="0.2">
      <c r="A14" s="5"/>
      <c r="B14" s="11" t="str">
        <f>"Resultados del Ejercicio (Ahorro/Desahorro) " &amp; '[1]R-VALIDACIÓN'!A3-1</f>
        <v>Resultados del Ejercicio (Ahorro/Desahorro) 2022</v>
      </c>
      <c r="C14" s="14">
        <f>ROUND([1]EA!G72,2)</f>
        <v>55735336.990000002</v>
      </c>
      <c r="D14" s="15">
        <f>ROUND([1]ESF!H42,2)</f>
        <v>55735336.990000002</v>
      </c>
      <c r="E14" s="16"/>
      <c r="F14" s="17">
        <f>C14-D14</f>
        <v>0</v>
      </c>
      <c r="G14" s="5">
        <v>1</v>
      </c>
    </row>
    <row r="15" spans="1:7" outlineLevel="1" x14ac:dyDescent="0.25">
      <c r="A15" s="5"/>
      <c r="B15" s="18"/>
      <c r="C15" s="18"/>
      <c r="D15" s="18"/>
      <c r="E15" s="18"/>
    </row>
    <row r="16" spans="1:7" ht="36.75" customHeight="1" outlineLevel="1" x14ac:dyDescent="0.2">
      <c r="A16" s="5"/>
      <c r="B16" s="88" t="s">
        <v>9</v>
      </c>
      <c r="C16" s="85"/>
      <c r="D16" s="85"/>
      <c r="E16" s="85"/>
      <c r="F16" s="86"/>
    </row>
    <row r="17" spans="1:7" outlineLevel="1" x14ac:dyDescent="0.2">
      <c r="A17" s="5">
        <f>IF(B17="La regla se cumple",1,0)</f>
        <v>1</v>
      </c>
      <c r="B17" s="9" t="str">
        <f>IF(F19=0,"La regla se cumple", "La regla no se cumple, revise sus registros")</f>
        <v>La regla se cumple</v>
      </c>
      <c r="C17" s="19" t="s">
        <v>6</v>
      </c>
      <c r="D17" s="20" t="s">
        <v>10</v>
      </c>
      <c r="F17" s="12" t="s">
        <v>8</v>
      </c>
    </row>
    <row r="18" spans="1:7" ht="15" customHeight="1" outlineLevel="1" x14ac:dyDescent="0.25">
      <c r="A18" s="5"/>
      <c r="B18" s="11" t="str">
        <f>"Resultados del Ejercicio (Ahorro/Desahorro) " &amp; '[1]R-VALIDACIÓN'!A3</f>
        <v>Resultados del Ejercicio (Ahorro/Desahorro) 2023</v>
      </c>
      <c r="C18" s="21">
        <f>ROUND([1]EA!F72,2)</f>
        <v>280835742.06999999</v>
      </c>
      <c r="D18" s="22"/>
      <c r="E18" s="20"/>
      <c r="F18" s="12"/>
    </row>
    <row r="19" spans="1:7" ht="15" customHeight="1" outlineLevel="1" x14ac:dyDescent="0.35">
      <c r="A19" s="5"/>
      <c r="B19" s="13" t="str">
        <f>"Variaciones de la Hacenda Pública/ Patrimonio Generado Neto " &amp; '[1]R-VALIDACIÓN'!A3</f>
        <v>Variaciones de la Hacenda Pública/ Patrimonio Generado Neto 2023</v>
      </c>
      <c r="C19" s="22"/>
      <c r="D19" s="23">
        <f>ROUND([1]EVHP!F35,2)</f>
        <v>280835742.06999999</v>
      </c>
      <c r="E19" s="24"/>
      <c r="F19" s="25">
        <f>C18-D19</f>
        <v>0</v>
      </c>
      <c r="G19" s="5">
        <v>1</v>
      </c>
    </row>
    <row r="20" spans="1:7" outlineLevel="1" x14ac:dyDescent="0.25">
      <c r="A20" s="5"/>
      <c r="C20" s="18"/>
      <c r="D20" s="18"/>
      <c r="E20" s="18"/>
    </row>
    <row r="21" spans="1:7" ht="32.25" customHeight="1" outlineLevel="1" x14ac:dyDescent="0.2">
      <c r="A21" s="5"/>
      <c r="B21" s="75" t="s">
        <v>11</v>
      </c>
      <c r="C21" s="76"/>
      <c r="D21" s="76"/>
      <c r="E21" s="76"/>
      <c r="F21" s="77"/>
    </row>
    <row r="22" spans="1:7" outlineLevel="1" x14ac:dyDescent="0.2">
      <c r="A22" s="5">
        <f>IF(B22="La regla se cumple",1,0)</f>
        <v>1</v>
      </c>
      <c r="B22" s="9" t="str">
        <f>IF((F24=0),"La regla se cumple", "La regla no se cumple, revise sus registros")</f>
        <v>La regla se cumple</v>
      </c>
      <c r="C22" s="19" t="s">
        <v>6</v>
      </c>
      <c r="D22" s="20" t="s">
        <v>10</v>
      </c>
      <c r="E22" s="19"/>
      <c r="F22" s="12" t="s">
        <v>8</v>
      </c>
    </row>
    <row r="23" spans="1:7" outlineLevel="1" x14ac:dyDescent="0.25">
      <c r="A23" s="5"/>
      <c r="B23" s="26" t="str">
        <f>"Resultados del Ejercicio (Ahorro/Desahorro) " &amp; '[1]R-VALIDACIÓN'!A3</f>
        <v>Resultados del Ejercicio (Ahorro/Desahorro) 2023</v>
      </c>
      <c r="C23" s="21">
        <f>ROUND([1]EA!F72,2)</f>
        <v>280835742.06999999</v>
      </c>
      <c r="D23" s="22"/>
      <c r="E23" s="19"/>
      <c r="F23" s="12"/>
    </row>
    <row r="24" spans="1:7" ht="15" customHeight="1" outlineLevel="1" x14ac:dyDescent="0.35">
      <c r="A24" s="5"/>
      <c r="B24" s="13" t="s">
        <v>12</v>
      </c>
      <c r="C24" s="22"/>
      <c r="D24" s="23">
        <f>ROUND([1]EVHP!F35,2)</f>
        <v>280835742.06999999</v>
      </c>
      <c r="E24" s="24"/>
      <c r="F24" s="25">
        <f>C23-D24</f>
        <v>0</v>
      </c>
      <c r="G24" s="5">
        <v>1</v>
      </c>
    </row>
    <row r="25" spans="1:7" ht="15" customHeight="1" outlineLevel="1" x14ac:dyDescent="0.25">
      <c r="A25" s="5"/>
    </row>
    <row r="26" spans="1:7" ht="47.25" customHeight="1" outlineLevel="1" x14ac:dyDescent="0.2">
      <c r="A26" s="5"/>
      <c r="B26" s="75" t="s">
        <v>13</v>
      </c>
      <c r="C26" s="76"/>
      <c r="D26" s="76"/>
      <c r="E26" s="76"/>
      <c r="F26" s="77"/>
    </row>
    <row r="27" spans="1:7" outlineLevel="1" x14ac:dyDescent="0.2">
      <c r="A27" s="5">
        <f>IF(B27="La regla se cumple",1,0)</f>
        <v>1</v>
      </c>
      <c r="B27" s="9" t="str">
        <f>IF(AND(F29=0),"La regla se cumple", "La regla no se cumple, revise sus registros")</f>
        <v>La regla se cumple</v>
      </c>
      <c r="C27" s="19" t="s">
        <v>6</v>
      </c>
      <c r="D27" s="20" t="s">
        <v>10</v>
      </c>
      <c r="E27" s="19"/>
      <c r="F27" s="12" t="s">
        <v>8</v>
      </c>
    </row>
    <row r="28" spans="1:7" ht="15" customHeight="1" outlineLevel="1" x14ac:dyDescent="0.25">
      <c r="A28" s="5"/>
      <c r="B28" s="13" t="str">
        <f>"Resultados del Ejercicio (Ahorro/Desahorro) " &amp; '[1]R-VALIDACIÓN'!A3-1</f>
        <v>Resultados del Ejercicio (Ahorro/Desahorro) 2022</v>
      </c>
      <c r="C28" s="23">
        <f>[1]EA!G72</f>
        <v>55735336.98999995</v>
      </c>
      <c r="D28" s="22"/>
      <c r="E28" s="20"/>
      <c r="F28" s="12"/>
    </row>
    <row r="29" spans="1:7" ht="15" customHeight="1" outlineLevel="1" x14ac:dyDescent="0.35">
      <c r="B29" s="13" t="str">
        <f>"Variaciones de la Hacenda Pública/ Patrimonio Generado Neto " &amp; '[1]R-VALIDACIÓN'!A3-1</f>
        <v>Variaciones de la Hacenda Pública/ Patrimonio Generado Neto 2022</v>
      </c>
      <c r="C29" s="22"/>
      <c r="D29" s="23">
        <f>-[1]EVHP!F36</f>
        <v>55735336.990000002</v>
      </c>
      <c r="E29" s="24"/>
      <c r="F29" s="25">
        <f>ROUND(C28-D29,2)</f>
        <v>0</v>
      </c>
      <c r="G29" s="5">
        <v>1</v>
      </c>
    </row>
    <row r="31" spans="1:7" ht="17.25" x14ac:dyDescent="0.3">
      <c r="A31" s="5" t="str">
        <f>CONCATENATE(COUNTIF(A34:A128,"=1"),"/10")</f>
        <v>10/10</v>
      </c>
      <c r="B31" s="78" t="s">
        <v>14</v>
      </c>
      <c r="C31" s="78"/>
      <c r="D31" s="78"/>
      <c r="E31" s="78"/>
      <c r="F31" s="78"/>
      <c r="G31" s="5">
        <f>SUM(G33:G134)</f>
        <v>48</v>
      </c>
    </row>
    <row r="32" spans="1:7" ht="12.75" outlineLevel="1" x14ac:dyDescent="0.2">
      <c r="D32" s="2"/>
      <c r="F32" s="2"/>
    </row>
    <row r="33" spans="1:7" ht="22.5" customHeight="1" outlineLevel="1" x14ac:dyDescent="0.2">
      <c r="B33" s="88" t="s">
        <v>15</v>
      </c>
      <c r="C33" s="85"/>
      <c r="D33" s="85"/>
      <c r="E33" s="85"/>
      <c r="F33" s="86"/>
    </row>
    <row r="34" spans="1:7" ht="15" customHeight="1" outlineLevel="1" x14ac:dyDescent="0.2">
      <c r="A34" s="5">
        <f>IF(B34="La regla se cumple",1,0)</f>
        <v>1</v>
      </c>
      <c r="B34" s="9" t="str">
        <f>IF(AND(F35=0,F36=0),"La regla se cumple", "La regla no se cumple, revise sus registros")</f>
        <v>La regla se cumple</v>
      </c>
      <c r="C34" s="19" t="s">
        <v>7</v>
      </c>
      <c r="D34" s="20" t="s">
        <v>6</v>
      </c>
      <c r="E34" s="19"/>
      <c r="F34" s="12" t="s">
        <v>8</v>
      </c>
    </row>
    <row r="35" spans="1:7" ht="15" customHeight="1" outlineLevel="1" x14ac:dyDescent="0.35">
      <c r="B35" s="26" t="str">
        <f>"Resultados del Ejercicio (Ahorro/Desahorro) " &amp; '[1]R-VALIDACIÓN'!A3</f>
        <v>Resultados del Ejercicio (Ahorro/Desahorro) 2023</v>
      </c>
      <c r="C35" s="27">
        <f>ROUND([1]ESF!G42,2)</f>
        <v>280835742.06999999</v>
      </c>
      <c r="D35" s="23">
        <f>ROUND([1]EA!F72,2)</f>
        <v>280835742.06999999</v>
      </c>
      <c r="E35" s="24"/>
      <c r="F35" s="28">
        <f>C35-D35</f>
        <v>0</v>
      </c>
      <c r="G35" s="5">
        <v>1</v>
      </c>
    </row>
    <row r="36" spans="1:7" ht="15" customHeight="1" outlineLevel="1" x14ac:dyDescent="0.35">
      <c r="B36" s="26" t="str">
        <f>"Resultados del Ejercicio (Ahorro/Desahorro) " &amp; '[1]R-VALIDACIÓN'!A3-1</f>
        <v>Resultados del Ejercicio (Ahorro/Desahorro) 2022</v>
      </c>
      <c r="C36" s="27">
        <f>ROUND([1]ESF!H42,2)</f>
        <v>55735336.990000002</v>
      </c>
      <c r="D36" s="23">
        <f>ROUND([1]EA!G72,2)</f>
        <v>55735336.990000002</v>
      </c>
      <c r="E36" s="24"/>
      <c r="F36" s="28">
        <f>C36-D36</f>
        <v>0</v>
      </c>
      <c r="G36" s="5">
        <v>1</v>
      </c>
    </row>
    <row r="37" spans="1:7" outlineLevel="1" x14ac:dyDescent="0.25">
      <c r="B37" s="18"/>
      <c r="C37" s="18"/>
      <c r="D37" s="18"/>
      <c r="E37" s="18"/>
    </row>
    <row r="38" spans="1:7" ht="35.25" customHeight="1" outlineLevel="1" x14ac:dyDescent="0.2">
      <c r="B38" s="88" t="s">
        <v>16</v>
      </c>
      <c r="C38" s="85"/>
      <c r="D38" s="85"/>
      <c r="E38" s="85"/>
      <c r="F38" s="86"/>
    </row>
    <row r="39" spans="1:7" ht="15.75" customHeight="1" outlineLevel="1" x14ac:dyDescent="0.25">
      <c r="A39" s="5">
        <f>IF(B39="La regla se cumple",1,0)</f>
        <v>1</v>
      </c>
      <c r="B39" s="9" t="str">
        <f>IF(AND(F78=0,F79=0),"La regla se cumple", "La regla no se cumple, revise sus registros")</f>
        <v>La regla se cumple</v>
      </c>
    </row>
    <row r="40" spans="1:7" ht="15" customHeight="1" outlineLevel="1" x14ac:dyDescent="0.2">
      <c r="A40" s="2"/>
      <c r="B40" s="29" t="s">
        <v>17</v>
      </c>
      <c r="C40" s="10" t="s">
        <v>18</v>
      </c>
      <c r="D40" s="10" t="s">
        <v>19</v>
      </c>
      <c r="E40" s="20"/>
      <c r="F40" s="12" t="s">
        <v>8</v>
      </c>
    </row>
    <row r="41" spans="1:7" ht="15" customHeight="1" outlineLevel="1" x14ac:dyDescent="0.25">
      <c r="B41" s="30" t="s">
        <v>20</v>
      </c>
      <c r="C41" s="23">
        <f>[1]ESF!D11</f>
        <v>68454764.030000001</v>
      </c>
      <c r="D41" s="21">
        <f>[1]EAA!D12</f>
        <v>68454764.030000001</v>
      </c>
      <c r="F41" s="31">
        <f>ROUND(C41-D41,2)</f>
        <v>0</v>
      </c>
      <c r="G41" s="5">
        <v>1</v>
      </c>
    </row>
    <row r="42" spans="1:7" ht="15" customHeight="1" outlineLevel="1" x14ac:dyDescent="0.25">
      <c r="B42" s="30" t="s">
        <v>21</v>
      </c>
      <c r="C42" s="23">
        <f>[1]ESF!D12</f>
        <v>423776180.92000002</v>
      </c>
      <c r="D42" s="21">
        <f>[1]EAA!D13</f>
        <v>423776180.92000002</v>
      </c>
      <c r="F42" s="31">
        <f t="shared" ref="F42:F56" si="0">ROUND(C42-D42,2)</f>
        <v>0</v>
      </c>
      <c r="G42" s="5">
        <v>1</v>
      </c>
    </row>
    <row r="43" spans="1:7" ht="15" customHeight="1" outlineLevel="1" x14ac:dyDescent="0.25">
      <c r="B43" s="30" t="s">
        <v>22</v>
      </c>
      <c r="C43" s="23">
        <f>[1]ESF!D13</f>
        <v>12719140.210000001</v>
      </c>
      <c r="D43" s="21">
        <f>[1]EAA!D14</f>
        <v>12719140.210000001</v>
      </c>
      <c r="F43" s="31">
        <f t="shared" si="0"/>
        <v>0</v>
      </c>
      <c r="G43" s="5">
        <v>1</v>
      </c>
    </row>
    <row r="44" spans="1:7" ht="15" customHeight="1" outlineLevel="1" x14ac:dyDescent="0.25">
      <c r="B44" s="30" t="s">
        <v>23</v>
      </c>
      <c r="C44" s="23">
        <f>[1]ESF!D14</f>
        <v>0</v>
      </c>
      <c r="D44" s="21">
        <f>[1]EAA!D15</f>
        <v>0</v>
      </c>
      <c r="F44" s="31">
        <f t="shared" si="0"/>
        <v>0</v>
      </c>
      <c r="G44" s="5">
        <v>1</v>
      </c>
    </row>
    <row r="45" spans="1:7" ht="15" customHeight="1" outlineLevel="1" x14ac:dyDescent="0.25">
      <c r="B45" s="30" t="s">
        <v>24</v>
      </c>
      <c r="C45" s="23">
        <f>[1]ESF!D15</f>
        <v>0</v>
      </c>
      <c r="D45" s="21">
        <f>[1]EAA!D16</f>
        <v>0</v>
      </c>
      <c r="F45" s="31">
        <f t="shared" si="0"/>
        <v>0</v>
      </c>
      <c r="G45" s="5">
        <v>1</v>
      </c>
    </row>
    <row r="46" spans="1:7" ht="15" customHeight="1" outlineLevel="1" x14ac:dyDescent="0.25">
      <c r="B46" s="30" t="s">
        <v>25</v>
      </c>
      <c r="C46" s="23">
        <f>[1]ESF!D16</f>
        <v>0</v>
      </c>
      <c r="D46" s="21">
        <f>[1]EAA!D17</f>
        <v>0</v>
      </c>
      <c r="F46" s="31">
        <f t="shared" si="0"/>
        <v>0</v>
      </c>
      <c r="G46" s="5">
        <v>1</v>
      </c>
    </row>
    <row r="47" spans="1:7" ht="15" customHeight="1" outlineLevel="1" x14ac:dyDescent="0.25">
      <c r="B47" s="29" t="s">
        <v>26</v>
      </c>
      <c r="C47" s="3"/>
      <c r="D47" s="2"/>
      <c r="F47" s="31"/>
    </row>
    <row r="48" spans="1:7" ht="15" customHeight="1" outlineLevel="1" x14ac:dyDescent="0.25">
      <c r="B48" s="30" t="s">
        <v>27</v>
      </c>
      <c r="C48" s="23">
        <f>[1]ESF!D22</f>
        <v>0</v>
      </c>
      <c r="D48" s="21">
        <f>[1]EAA!D21</f>
        <v>0</v>
      </c>
      <c r="F48" s="31">
        <f t="shared" si="0"/>
        <v>0</v>
      </c>
      <c r="G48" s="5">
        <v>1</v>
      </c>
    </row>
    <row r="49" spans="2:7" ht="15" customHeight="1" outlineLevel="1" x14ac:dyDescent="0.25">
      <c r="B49" s="30" t="s">
        <v>28</v>
      </c>
      <c r="C49" s="23">
        <f>[1]ESF!D23</f>
        <v>0</v>
      </c>
      <c r="D49" s="21">
        <f>[1]EAA!D22</f>
        <v>0</v>
      </c>
      <c r="F49" s="31">
        <f t="shared" si="0"/>
        <v>0</v>
      </c>
      <c r="G49" s="5">
        <v>1</v>
      </c>
    </row>
    <row r="50" spans="2:7" ht="15" customHeight="1" outlineLevel="1" x14ac:dyDescent="0.25">
      <c r="B50" s="30" t="s">
        <v>29</v>
      </c>
      <c r="C50" s="23">
        <f>[1]ESF!D24</f>
        <v>42044335.450000003</v>
      </c>
      <c r="D50" s="21">
        <f>[1]EAA!D23</f>
        <v>42044335.450000003</v>
      </c>
      <c r="F50" s="31">
        <f t="shared" si="0"/>
        <v>0</v>
      </c>
      <c r="G50" s="5">
        <v>1</v>
      </c>
    </row>
    <row r="51" spans="2:7" ht="15" customHeight="1" outlineLevel="1" x14ac:dyDescent="0.25">
      <c r="B51" s="30" t="s">
        <v>30</v>
      </c>
      <c r="C51" s="23">
        <f>[1]ESF!D25</f>
        <v>16834824.890000001</v>
      </c>
      <c r="D51" s="21">
        <f>[1]EAA!D24</f>
        <v>16834824.890000001</v>
      </c>
      <c r="F51" s="31">
        <f t="shared" si="0"/>
        <v>0</v>
      </c>
      <c r="G51" s="5">
        <v>1</v>
      </c>
    </row>
    <row r="52" spans="2:7" ht="15" customHeight="1" outlineLevel="1" x14ac:dyDescent="0.25">
      <c r="B52" s="30" t="s">
        <v>31</v>
      </c>
      <c r="C52" s="23">
        <f>[1]ESF!D26</f>
        <v>0</v>
      </c>
      <c r="D52" s="21">
        <f>[1]EAA!D25</f>
        <v>0</v>
      </c>
      <c r="F52" s="31">
        <f t="shared" si="0"/>
        <v>0</v>
      </c>
      <c r="G52" s="5">
        <v>1</v>
      </c>
    </row>
    <row r="53" spans="2:7" ht="15" customHeight="1" outlineLevel="1" x14ac:dyDescent="0.25">
      <c r="B53" s="30" t="s">
        <v>32</v>
      </c>
      <c r="C53" s="23">
        <f>[1]ESF!D27</f>
        <v>-8168245.6600000001</v>
      </c>
      <c r="D53" s="21">
        <f>[1]EAA!D26</f>
        <v>-8168245.6600000001</v>
      </c>
      <c r="F53" s="31">
        <f t="shared" si="0"/>
        <v>0</v>
      </c>
      <c r="G53" s="5">
        <v>1</v>
      </c>
    </row>
    <row r="54" spans="2:7" ht="15" customHeight="1" outlineLevel="1" x14ac:dyDescent="0.25">
      <c r="B54" s="30" t="s">
        <v>33</v>
      </c>
      <c r="C54" s="23">
        <f>[1]ESF!D28</f>
        <v>0</v>
      </c>
      <c r="D54" s="21">
        <f>[1]EAA!D27</f>
        <v>0</v>
      </c>
      <c r="F54" s="31">
        <f t="shared" si="0"/>
        <v>0</v>
      </c>
      <c r="G54" s="5">
        <v>1</v>
      </c>
    </row>
    <row r="55" spans="2:7" ht="15" customHeight="1" outlineLevel="1" x14ac:dyDescent="0.25">
      <c r="B55" s="32" t="s">
        <v>34</v>
      </c>
      <c r="C55" s="23">
        <f>[1]ESF!D29</f>
        <v>0</v>
      </c>
      <c r="D55" s="21">
        <f>[1]EAA!D28</f>
        <v>0</v>
      </c>
      <c r="F55" s="31">
        <f t="shared" si="0"/>
        <v>0</v>
      </c>
      <c r="G55" s="5">
        <v>1</v>
      </c>
    </row>
    <row r="56" spans="2:7" ht="15" customHeight="1" outlineLevel="1" x14ac:dyDescent="0.25">
      <c r="B56" s="30" t="s">
        <v>35</v>
      </c>
      <c r="C56" s="23">
        <f>[1]ESF!D30</f>
        <v>0</v>
      </c>
      <c r="D56" s="21">
        <f>[1]EAA!D29</f>
        <v>0</v>
      </c>
      <c r="F56" s="31">
        <f t="shared" si="0"/>
        <v>0</v>
      </c>
      <c r="G56" s="5">
        <v>1</v>
      </c>
    </row>
    <row r="57" spans="2:7" ht="15" customHeight="1" outlineLevel="1" x14ac:dyDescent="0.25">
      <c r="B57" s="30"/>
      <c r="C57" s="3"/>
      <c r="D57" s="2"/>
    </row>
    <row r="58" spans="2:7" ht="15" customHeight="1" outlineLevel="1" x14ac:dyDescent="0.2">
      <c r="B58" s="29" t="s">
        <v>17</v>
      </c>
      <c r="C58" s="10" t="s">
        <v>36</v>
      </c>
      <c r="D58" s="10" t="s">
        <v>37</v>
      </c>
      <c r="E58" s="20"/>
      <c r="F58" s="12" t="s">
        <v>8</v>
      </c>
    </row>
    <row r="59" spans="2:7" ht="15" customHeight="1" outlineLevel="1" x14ac:dyDescent="0.25">
      <c r="B59" s="30" t="s">
        <v>20</v>
      </c>
      <c r="C59" s="23">
        <f>[1]ESF!C11</f>
        <v>286428722.88</v>
      </c>
      <c r="D59" s="21">
        <f>[1]EAA!G12</f>
        <v>286428722.88</v>
      </c>
      <c r="F59" s="31">
        <f t="shared" ref="F59:F74" si="1">ROUND(C59-D59,2)</f>
        <v>0</v>
      </c>
      <c r="G59" s="5">
        <v>1</v>
      </c>
    </row>
    <row r="60" spans="2:7" ht="15" customHeight="1" outlineLevel="1" x14ac:dyDescent="0.25">
      <c r="B60" s="30" t="s">
        <v>21</v>
      </c>
      <c r="C60" s="23">
        <f>[1]ESF!C12</f>
        <v>475272204.17000002</v>
      </c>
      <c r="D60" s="21">
        <f>[1]EAA!G13</f>
        <v>475272204.16999996</v>
      </c>
      <c r="F60" s="31">
        <f t="shared" si="1"/>
        <v>0</v>
      </c>
      <c r="G60" s="5">
        <v>1</v>
      </c>
    </row>
    <row r="61" spans="2:7" ht="15" customHeight="1" outlineLevel="1" x14ac:dyDescent="0.25">
      <c r="B61" s="30" t="s">
        <v>22</v>
      </c>
      <c r="C61" s="23">
        <f>[1]ESF!C13</f>
        <v>33770409.060000002</v>
      </c>
      <c r="D61" s="21">
        <f>[1]EAA!G14</f>
        <v>33770409.059999987</v>
      </c>
      <c r="F61" s="31">
        <f t="shared" si="1"/>
        <v>0</v>
      </c>
      <c r="G61" s="5">
        <v>1</v>
      </c>
    </row>
    <row r="62" spans="2:7" ht="15" customHeight="1" outlineLevel="1" x14ac:dyDescent="0.25">
      <c r="B62" s="30" t="s">
        <v>23</v>
      </c>
      <c r="C62" s="23">
        <f>[1]ESF!C14</f>
        <v>0</v>
      </c>
      <c r="D62" s="21">
        <f>[1]EAA!G15</f>
        <v>0</v>
      </c>
      <c r="F62" s="31">
        <f t="shared" si="1"/>
        <v>0</v>
      </c>
      <c r="G62" s="5">
        <v>1</v>
      </c>
    </row>
    <row r="63" spans="2:7" ht="15" customHeight="1" outlineLevel="1" x14ac:dyDescent="0.25">
      <c r="B63" s="30" t="s">
        <v>24</v>
      </c>
      <c r="C63" s="23">
        <f>[1]ESF!C15</f>
        <v>0</v>
      </c>
      <c r="D63" s="21">
        <f>[1]EAA!G16</f>
        <v>0</v>
      </c>
      <c r="F63" s="31">
        <f t="shared" si="1"/>
        <v>0</v>
      </c>
      <c r="G63" s="5">
        <v>1</v>
      </c>
    </row>
    <row r="64" spans="2:7" ht="15" customHeight="1" outlineLevel="1" x14ac:dyDescent="0.25">
      <c r="B64" s="30" t="s">
        <v>25</v>
      </c>
      <c r="C64" s="23">
        <f>[1]ESF!C16</f>
        <v>0</v>
      </c>
      <c r="D64" s="21">
        <f>[1]EAA!G17</f>
        <v>0</v>
      </c>
      <c r="F64" s="31">
        <f t="shared" si="1"/>
        <v>0</v>
      </c>
      <c r="G64" s="5">
        <v>1</v>
      </c>
    </row>
    <row r="65" spans="2:7" ht="15" customHeight="1" outlineLevel="1" x14ac:dyDescent="0.25">
      <c r="B65" s="29" t="s">
        <v>26</v>
      </c>
      <c r="C65" s="3"/>
      <c r="D65" s="2"/>
      <c r="F65" s="31"/>
    </row>
    <row r="66" spans="2:7" ht="15" customHeight="1" outlineLevel="1" x14ac:dyDescent="0.25">
      <c r="B66" s="30" t="s">
        <v>27</v>
      </c>
      <c r="C66" s="23">
        <f>[1]ESF!C22</f>
        <v>0</v>
      </c>
      <c r="D66" s="21">
        <f>[1]EAA!G21</f>
        <v>0</v>
      </c>
      <c r="F66" s="31">
        <f t="shared" si="1"/>
        <v>0</v>
      </c>
      <c r="G66" s="5">
        <v>1</v>
      </c>
    </row>
    <row r="67" spans="2:7" ht="15" customHeight="1" outlineLevel="1" x14ac:dyDescent="0.25">
      <c r="B67" s="30" t="s">
        <v>28</v>
      </c>
      <c r="C67" s="23">
        <f>[1]ESF!C23</f>
        <v>0</v>
      </c>
      <c r="D67" s="21">
        <f>[1]EAA!G22</f>
        <v>0</v>
      </c>
      <c r="F67" s="31">
        <f t="shared" si="1"/>
        <v>0</v>
      </c>
      <c r="G67" s="5">
        <v>1</v>
      </c>
    </row>
    <row r="68" spans="2:7" ht="15" customHeight="1" outlineLevel="1" x14ac:dyDescent="0.25">
      <c r="B68" s="30" t="s">
        <v>29</v>
      </c>
      <c r="C68" s="23">
        <f>[1]ESF!C24</f>
        <v>318906049.66000003</v>
      </c>
      <c r="D68" s="21">
        <f>[1]EAA!G23</f>
        <v>318906049.66000009</v>
      </c>
      <c r="F68" s="31">
        <f t="shared" si="1"/>
        <v>0</v>
      </c>
      <c r="G68" s="5">
        <v>1</v>
      </c>
    </row>
    <row r="69" spans="2:7" ht="15" customHeight="1" outlineLevel="1" x14ac:dyDescent="0.25">
      <c r="B69" s="30" t="s">
        <v>30</v>
      </c>
      <c r="C69" s="23">
        <f>[1]ESF!C25</f>
        <v>22628301.899999999</v>
      </c>
      <c r="D69" s="21">
        <f>[1]EAA!G24</f>
        <v>22628301.900000002</v>
      </c>
      <c r="F69" s="31">
        <f t="shared" si="1"/>
        <v>0</v>
      </c>
      <c r="G69" s="5">
        <v>1</v>
      </c>
    </row>
    <row r="70" spans="2:7" ht="15" customHeight="1" outlineLevel="1" x14ac:dyDescent="0.25">
      <c r="B70" s="30" t="s">
        <v>31</v>
      </c>
      <c r="C70" s="23">
        <f>[1]ESF!C26</f>
        <v>789429.81</v>
      </c>
      <c r="D70" s="21">
        <f>[1]EAA!G25</f>
        <v>789429.81</v>
      </c>
      <c r="F70" s="31">
        <f t="shared" si="1"/>
        <v>0</v>
      </c>
      <c r="G70" s="5">
        <v>1</v>
      </c>
    </row>
    <row r="71" spans="2:7" ht="15" customHeight="1" outlineLevel="1" x14ac:dyDescent="0.25">
      <c r="B71" s="30" t="s">
        <v>32</v>
      </c>
      <c r="C71" s="23">
        <f>[1]ESF!C27</f>
        <v>-8168245.6600000001</v>
      </c>
      <c r="D71" s="21">
        <f>[1]EAA!G26</f>
        <v>-8168245.6600000001</v>
      </c>
      <c r="F71" s="31">
        <f t="shared" si="1"/>
        <v>0</v>
      </c>
      <c r="G71" s="5">
        <v>1</v>
      </c>
    </row>
    <row r="72" spans="2:7" ht="15" customHeight="1" outlineLevel="1" x14ac:dyDescent="0.25">
      <c r="B72" s="30" t="s">
        <v>33</v>
      </c>
      <c r="C72" s="23">
        <f>[1]ESF!C28</f>
        <v>0</v>
      </c>
      <c r="D72" s="21">
        <f>[1]EAA!G27</f>
        <v>0</v>
      </c>
      <c r="F72" s="31">
        <f t="shared" si="1"/>
        <v>0</v>
      </c>
      <c r="G72" s="5">
        <v>1</v>
      </c>
    </row>
    <row r="73" spans="2:7" ht="15" customHeight="1" outlineLevel="1" x14ac:dyDescent="0.25">
      <c r="B73" s="32" t="s">
        <v>34</v>
      </c>
      <c r="C73" s="23">
        <f>[1]ESF!C29</f>
        <v>0</v>
      </c>
      <c r="D73" s="21">
        <f>[1]EAA!G28</f>
        <v>0</v>
      </c>
      <c r="F73" s="31">
        <f t="shared" si="1"/>
        <v>0</v>
      </c>
      <c r="G73" s="5">
        <v>1</v>
      </c>
    </row>
    <row r="74" spans="2:7" ht="15" customHeight="1" outlineLevel="1" x14ac:dyDescent="0.25">
      <c r="B74" s="30" t="s">
        <v>35</v>
      </c>
      <c r="C74" s="23">
        <f>[1]ESF!C30</f>
        <v>0</v>
      </c>
      <c r="D74" s="21">
        <f>[1]EAA!G29</f>
        <v>0</v>
      </c>
      <c r="F74" s="31">
        <f t="shared" si="1"/>
        <v>0</v>
      </c>
      <c r="G74" s="5">
        <v>1</v>
      </c>
    </row>
    <row r="75" spans="2:7" ht="15" customHeight="1" outlineLevel="1" x14ac:dyDescent="0.2">
      <c r="D75" s="2"/>
      <c r="F75" s="6"/>
    </row>
    <row r="76" spans="2:7" outlineLevel="1" x14ac:dyDescent="0.25">
      <c r="B76" s="30" t="str">
        <f>"Total Activo " &amp; '[1]R-VALIDACIÓN'!A3</f>
        <v>Total Activo 2023</v>
      </c>
      <c r="C76" s="33">
        <f>[1]ESF!C34</f>
        <v>1129626871.8199999</v>
      </c>
      <c r="D76" s="34"/>
      <c r="F76" s="6"/>
    </row>
    <row r="77" spans="2:7" outlineLevel="1" x14ac:dyDescent="0.25">
      <c r="B77" s="30" t="str">
        <f>"Total Activo " &amp; '[1]R-VALIDACIÓN'!A3-0</f>
        <v>Total Activo 2023</v>
      </c>
      <c r="C77" s="35">
        <f>[1]ESF!D34</f>
        <v>555660999.84000003</v>
      </c>
      <c r="D77" s="34"/>
      <c r="F77" s="6"/>
    </row>
    <row r="78" spans="2:7" outlineLevel="1" x14ac:dyDescent="0.25">
      <c r="B78" s="30" t="s">
        <v>38</v>
      </c>
      <c r="C78" s="36"/>
      <c r="D78" s="37">
        <f>[1]EAA!D10</f>
        <v>555660999.84000003</v>
      </c>
      <c r="F78" s="31">
        <f>ROUND(C77-D78,2)</f>
        <v>0</v>
      </c>
      <c r="G78" s="5">
        <v>1</v>
      </c>
    </row>
    <row r="79" spans="2:7" ht="15" customHeight="1" outlineLevel="1" x14ac:dyDescent="0.25">
      <c r="B79" s="3" t="s">
        <v>39</v>
      </c>
      <c r="C79" s="38"/>
      <c r="D79" s="37">
        <f>[1]EAA!G10</f>
        <v>1129626871.8199999</v>
      </c>
      <c r="E79" s="3"/>
      <c r="F79" s="31">
        <f>ROUND(C76-D79,2)</f>
        <v>0</v>
      </c>
      <c r="G79" s="5">
        <v>1</v>
      </c>
    </row>
    <row r="80" spans="2:7" outlineLevel="1" x14ac:dyDescent="0.25">
      <c r="B80" s="18"/>
      <c r="C80" s="18"/>
      <c r="D80" s="18"/>
    </row>
    <row r="81" spans="1:7" ht="33.75" customHeight="1" outlineLevel="1" x14ac:dyDescent="0.2">
      <c r="B81" s="75" t="s">
        <v>40</v>
      </c>
      <c r="C81" s="85"/>
      <c r="D81" s="85"/>
      <c r="E81" s="85"/>
      <c r="F81" s="86"/>
    </row>
    <row r="82" spans="1:7" ht="15.75" customHeight="1" outlineLevel="1" x14ac:dyDescent="0.2">
      <c r="A82" s="5">
        <f>IF(B82="La regla se cumple",1,0)</f>
        <v>1</v>
      </c>
      <c r="B82" s="9" t="str">
        <f>IF(AND(F85=0,F86=0),"La regla se cumple", "La regla no se cumple, revise sus registros")</f>
        <v>La regla se cumple</v>
      </c>
      <c r="C82" s="19" t="s">
        <v>7</v>
      </c>
      <c r="D82" s="20" t="s">
        <v>41</v>
      </c>
      <c r="E82" s="19"/>
      <c r="F82" s="12" t="s">
        <v>8</v>
      </c>
    </row>
    <row r="83" spans="1:7" ht="15" customHeight="1" outlineLevel="1" x14ac:dyDescent="0.35">
      <c r="B83" s="26" t="str">
        <f>"Efectivos y Equivalentes " &amp; '[1]R-VALIDACIÓN'!A3-1</f>
        <v>Efectivos y Equivalentes 2022</v>
      </c>
      <c r="C83" s="27">
        <f>[1]ESF!D11</f>
        <v>68454764.030000001</v>
      </c>
      <c r="D83" s="39"/>
      <c r="E83" s="24"/>
    </row>
    <row r="84" spans="1:7" ht="15" customHeight="1" outlineLevel="1" x14ac:dyDescent="0.35">
      <c r="B84" s="26" t="str">
        <f>"Efectivos y Equivalentes " &amp; '[1]R-VALIDACIÓN'!A3</f>
        <v>Efectivos y Equivalentes 2023</v>
      </c>
      <c r="C84" s="27">
        <f>[1]ESF!C11</f>
        <v>286428722.88</v>
      </c>
      <c r="D84" s="39"/>
      <c r="E84" s="24"/>
    </row>
    <row r="85" spans="1:7" ht="15" customHeight="1" outlineLevel="1" x14ac:dyDescent="0.35">
      <c r="B85" s="26" t="str">
        <f>"Efectivos y Equivalentes al Efectivo al Final del Ejercicio " &amp; '[1]R-VALIDACIÓN'!A3-1</f>
        <v>Efectivos y Equivalentes al Efectivo al Final del Ejercicio 2022</v>
      </c>
      <c r="C85" s="22"/>
      <c r="D85" s="23">
        <f>[1]EFE!F70</f>
        <v>68454764.030000001</v>
      </c>
      <c r="E85" s="24"/>
      <c r="F85" s="31">
        <f>ROUND(C83-D85,2)</f>
        <v>0</v>
      </c>
      <c r="G85" s="5">
        <v>1</v>
      </c>
    </row>
    <row r="86" spans="1:7" ht="15" customHeight="1" outlineLevel="1" x14ac:dyDescent="0.35">
      <c r="B86" s="26" t="str">
        <f>"Efectivos y Equivalentes al Efectivo al Final del Ejercicio " &amp; '[1]R-VALIDACIÓN'!A3</f>
        <v>Efectivos y Equivalentes al Efectivo al Final del Ejercicio 2023</v>
      </c>
      <c r="C86" s="22"/>
      <c r="D86" s="23">
        <f>[1]EFE!E70</f>
        <v>286428722.88</v>
      </c>
      <c r="E86" s="24"/>
      <c r="F86" s="31">
        <f>ROUND(C84-D86,2)</f>
        <v>0</v>
      </c>
      <c r="G86" s="5">
        <v>1</v>
      </c>
    </row>
    <row r="87" spans="1:7" outlineLevel="1" x14ac:dyDescent="0.25">
      <c r="C87" s="40"/>
      <c r="D87" s="40"/>
      <c r="E87" s="18"/>
    </row>
    <row r="88" spans="1:7" ht="33" customHeight="1" outlineLevel="1" x14ac:dyDescent="0.2">
      <c r="B88" s="75" t="s">
        <v>42</v>
      </c>
      <c r="C88" s="85"/>
      <c r="D88" s="85"/>
      <c r="E88" s="85"/>
      <c r="F88" s="86"/>
    </row>
    <row r="89" spans="1:7" ht="15.75" customHeight="1" outlineLevel="1" x14ac:dyDescent="0.2">
      <c r="A89" s="5">
        <f>IF(B89="La regla se cumple",1,0)</f>
        <v>1</v>
      </c>
      <c r="B89" s="9" t="str">
        <f>IF((F91=0),"La regla se cumple", "La regla no se cumple, revise sus registros")</f>
        <v>La regla se cumple</v>
      </c>
      <c r="C89" s="19" t="s">
        <v>7</v>
      </c>
      <c r="D89" s="20" t="s">
        <v>41</v>
      </c>
      <c r="E89" s="26"/>
      <c r="F89" s="12" t="s">
        <v>8</v>
      </c>
    </row>
    <row r="90" spans="1:7" ht="15" customHeight="1" outlineLevel="1" x14ac:dyDescent="0.25">
      <c r="B90" s="41" t="str">
        <f>"Efectivos y Equivalentes " &amp; '[1]R-VALIDACIÓN'!A3-1</f>
        <v>Efectivos y Equivalentes 2022</v>
      </c>
      <c r="C90" s="23">
        <f>[1]ESF!D11</f>
        <v>68454764.030000001</v>
      </c>
      <c r="D90" s="42"/>
      <c r="E90" s="26"/>
    </row>
    <row r="91" spans="1:7" ht="15" customHeight="1" outlineLevel="1" x14ac:dyDescent="0.25">
      <c r="B91" s="26" t="str">
        <f>"Efectivos y Equivalentes al Efectivo al Inicio del Ejercicio " &amp; '[1]R-VALIDACIÓN'!A3</f>
        <v>Efectivos y Equivalentes al Efectivo al Inicio del Ejercicio 2023</v>
      </c>
      <c r="C91" s="43"/>
      <c r="D91" s="44">
        <f>[1]EFE!E68</f>
        <v>68454764.030000001</v>
      </c>
      <c r="E91" s="26"/>
      <c r="F91" s="31">
        <f>C90-D91</f>
        <v>0</v>
      </c>
      <c r="G91" s="5">
        <v>1</v>
      </c>
    </row>
    <row r="92" spans="1:7" ht="12.75" outlineLevel="1" x14ac:dyDescent="0.2">
      <c r="B92" s="83"/>
      <c r="C92" s="87"/>
      <c r="D92" s="87"/>
      <c r="E92" s="87"/>
      <c r="F92" s="87"/>
    </row>
    <row r="93" spans="1:7" ht="27.75" customHeight="1" outlineLevel="1" x14ac:dyDescent="0.2">
      <c r="B93" s="75" t="s">
        <v>43</v>
      </c>
      <c r="C93" s="85"/>
      <c r="D93" s="85"/>
      <c r="E93" s="85"/>
      <c r="F93" s="86"/>
    </row>
    <row r="94" spans="1:7" ht="14.25" customHeight="1" outlineLevel="1" x14ac:dyDescent="0.2">
      <c r="A94" s="5">
        <f>IF(B94="La regla se cumple",1,0)</f>
        <v>1</v>
      </c>
      <c r="B94" s="9" t="str">
        <f>IF((F96+F98)=0,"La regla se cumple", "La regla no se cumple, revise sus registros")</f>
        <v>La regla se cumple</v>
      </c>
      <c r="D94" s="19" t="s">
        <v>7</v>
      </c>
      <c r="E94" s="26"/>
      <c r="F94" s="12" t="s">
        <v>8</v>
      </c>
    </row>
    <row r="95" spans="1:7" outlineLevel="1" x14ac:dyDescent="0.25">
      <c r="B95" s="32" t="str">
        <f>"Total del activo " &amp; '[1]R-VALIDACIÓN'!A3-1</f>
        <v>Total del activo 2022</v>
      </c>
      <c r="D95" s="23">
        <f>[1]ESF!D34</f>
        <v>555660999.84000003</v>
      </c>
    </row>
    <row r="96" spans="1:7" outlineLevel="1" x14ac:dyDescent="0.25">
      <c r="B96" s="32" t="str">
        <f>"Total del Pasivo y Hacienda Pública/Patrimonio " &amp; '[1]R-VALIDACIÓN'!A3-1</f>
        <v>Total del Pasivo y Hacienda Pública/Patrimonio 2022</v>
      </c>
      <c r="D96" s="23">
        <f>[1]ESF!H54</f>
        <v>555660999.84000003</v>
      </c>
      <c r="F96" s="31">
        <f>ROUND(D95-D96,2)</f>
        <v>0</v>
      </c>
      <c r="G96" s="5">
        <v>1</v>
      </c>
    </row>
    <row r="97" spans="1:7" outlineLevel="1" x14ac:dyDescent="0.25">
      <c r="B97" s="32" t="str">
        <f>"Total del activo " &amp; '[1]R-VALIDACIÓN'!A3</f>
        <v>Total del activo 2023</v>
      </c>
      <c r="D97" s="23">
        <f>[1]ESF!C34</f>
        <v>1129626871.8199999</v>
      </c>
      <c r="F97" s="45"/>
    </row>
    <row r="98" spans="1:7" outlineLevel="1" x14ac:dyDescent="0.25">
      <c r="B98" s="32" t="str">
        <f>"Total del Pasivo y Hacienda Pública/Patrimonio " &amp; '[1]R-VALIDACIÓN'!A3</f>
        <v>Total del Pasivo y Hacienda Pública/Patrimonio 2023</v>
      </c>
      <c r="D98" s="23">
        <f>[1]ESF!G54</f>
        <v>1129626871.8199999</v>
      </c>
      <c r="F98" s="31">
        <f>ROUND(D97-D98,2)</f>
        <v>0</v>
      </c>
      <c r="G98" s="5">
        <v>1</v>
      </c>
    </row>
    <row r="99" spans="1:7" outlineLevel="1" x14ac:dyDescent="0.25">
      <c r="B99" s="18"/>
      <c r="C99" s="18"/>
      <c r="D99" s="18"/>
      <c r="E99" s="18"/>
    </row>
    <row r="100" spans="1:7" ht="33" customHeight="1" outlineLevel="1" x14ac:dyDescent="0.2">
      <c r="B100" s="75" t="s">
        <v>44</v>
      </c>
      <c r="C100" s="85"/>
      <c r="D100" s="85"/>
      <c r="E100" s="85"/>
      <c r="F100" s="86"/>
    </row>
    <row r="101" spans="1:7" ht="15.75" customHeight="1" outlineLevel="1" x14ac:dyDescent="0.2">
      <c r="A101" s="5">
        <f>IF(B101="La regla se cumple",1,0)</f>
        <v>1</v>
      </c>
      <c r="B101" s="9" t="str">
        <f>IF((F103+F105)=0,"La regla se cumple", "La regla no se cumple, revise sus registros")</f>
        <v>La regla se cumple</v>
      </c>
      <c r="C101" s="20" t="s">
        <v>7</v>
      </c>
      <c r="D101" s="19" t="s">
        <v>45</v>
      </c>
      <c r="F101" s="12" t="s">
        <v>8</v>
      </c>
    </row>
    <row r="102" spans="1:7" ht="12.75" outlineLevel="1" x14ac:dyDescent="0.2">
      <c r="B102" s="32" t="str">
        <f>"Total de Pasivo " &amp; '[1]R-VALIDACIÓN'!A3-1</f>
        <v>Total de Pasivo 2022</v>
      </c>
      <c r="C102" s="23">
        <f>[1]ESF!H32</f>
        <v>47493971.93</v>
      </c>
      <c r="D102" s="46"/>
      <c r="F102" s="6"/>
    </row>
    <row r="103" spans="1:7" outlineLevel="1" x14ac:dyDescent="0.25">
      <c r="B103" s="32" t="s">
        <v>46</v>
      </c>
      <c r="C103" s="42"/>
      <c r="D103" s="21">
        <f>[1]EADOP!J43</f>
        <v>340713537.63999999</v>
      </c>
      <c r="F103" s="31">
        <f>ROUND(C102-D105,2)</f>
        <v>0</v>
      </c>
      <c r="G103" s="5">
        <v>1</v>
      </c>
    </row>
    <row r="104" spans="1:7" ht="12.75" outlineLevel="1" x14ac:dyDescent="0.2">
      <c r="B104" s="32" t="str">
        <f>"Total de Pasivo " &amp; '[1]R-VALIDACIÓN'!A3</f>
        <v>Total de Pasivo 2023</v>
      </c>
      <c r="C104" s="23">
        <f>[1]ESF!G32</f>
        <v>340713537.63999999</v>
      </c>
      <c r="D104" s="46"/>
      <c r="F104" s="6"/>
    </row>
    <row r="105" spans="1:7" outlineLevel="1" x14ac:dyDescent="0.25">
      <c r="B105" s="32" t="s">
        <v>47</v>
      </c>
      <c r="C105" s="42"/>
      <c r="D105" s="21">
        <f>[1]EADOP!I43</f>
        <v>47493971.93</v>
      </c>
      <c r="F105" s="31">
        <f>ROUND(D105-C102,2)</f>
        <v>0</v>
      </c>
      <c r="G105" s="5">
        <v>1</v>
      </c>
    </row>
    <row r="106" spans="1:7" ht="12.75" outlineLevel="1" x14ac:dyDescent="0.2">
      <c r="B106" s="47"/>
      <c r="C106" s="47"/>
      <c r="D106" s="47"/>
      <c r="E106" s="47"/>
      <c r="F106" s="6"/>
    </row>
    <row r="107" spans="1:7" ht="39.75" customHeight="1" outlineLevel="1" x14ac:dyDescent="0.2">
      <c r="B107" s="75" t="s">
        <v>48</v>
      </c>
      <c r="C107" s="85"/>
      <c r="D107" s="85"/>
      <c r="E107" s="85"/>
      <c r="F107" s="86"/>
    </row>
    <row r="108" spans="1:7" ht="15.75" customHeight="1" outlineLevel="1" x14ac:dyDescent="0.2">
      <c r="A108" s="5">
        <f>IF(B108="La regla se cumple",1,0)</f>
        <v>1</v>
      </c>
      <c r="B108" s="9" t="str">
        <f>IF((F111=0),"La regla se cumple","La regla no se cumple,revise sus registros ")</f>
        <v>La regla se cumple</v>
      </c>
      <c r="C108" s="19" t="s">
        <v>7</v>
      </c>
      <c r="D108" s="20" t="s">
        <v>10</v>
      </c>
      <c r="E108" s="20"/>
      <c r="F108" s="12" t="s">
        <v>8</v>
      </c>
    </row>
    <row r="109" spans="1:7" ht="15.75" customHeight="1" outlineLevel="1" x14ac:dyDescent="0.2">
      <c r="A109" s="5"/>
      <c r="B109" s="9" t="str">
        <f>"Hacienda Pública / Patrimonio Contribuido Neto de " &amp; '[1]R-VALIDACIÓN'!A3-1</f>
        <v>Hacienda Pública / Patrimonio Contribuido Neto de 2022</v>
      </c>
      <c r="C109" s="19"/>
      <c r="D109" s="20"/>
      <c r="E109" s="20"/>
      <c r="F109" s="12"/>
    </row>
    <row r="110" spans="1:7" ht="15" customHeight="1" outlineLevel="1" x14ac:dyDescent="0.35">
      <c r="B110" s="32" t="str">
        <f>"Hacienda pública Pátrimonio Contribuido  " &amp; '[1]R-VALIDACIÓN'!A3-1</f>
        <v>Hacienda pública Pátrimonio Contribuido  2022</v>
      </c>
      <c r="C110" s="21">
        <f>[1]ESF!H36</f>
        <v>0</v>
      </c>
      <c r="D110" s="42"/>
      <c r="E110" s="24"/>
    </row>
    <row r="111" spans="1:7" ht="15" customHeight="1" outlineLevel="1" x14ac:dyDescent="0.35">
      <c r="B111" s="32" t="str">
        <f>"Patrimonio contribuido total " &amp; '[1]R-VALIDACIÓN'!A3-1</f>
        <v>Patrimonio contribuido total 2022</v>
      </c>
      <c r="C111" s="46"/>
      <c r="D111" s="23">
        <f>[1]EVHP!D11</f>
        <v>0</v>
      </c>
      <c r="E111" s="24"/>
      <c r="F111" s="31">
        <f>ROUND(C110-D111,2)</f>
        <v>0</v>
      </c>
      <c r="G111" s="5">
        <v>1</v>
      </c>
    </row>
    <row r="112" spans="1:7" outlineLevel="1" x14ac:dyDescent="0.25">
      <c r="B112" s="32" t="str">
        <f>"Hacienda pública Pátrimonio Contribuido " &amp; '[1]R-VALIDACIÓN'!A3-1 &amp; " Total "</f>
        <v xml:space="preserve">Hacienda pública Pátrimonio Contribuido 2022 Total </v>
      </c>
      <c r="C112" s="46"/>
      <c r="D112" s="23">
        <f>[1]EVHP!E11</f>
        <v>0</v>
      </c>
      <c r="E112" s="3"/>
      <c r="F112" s="31">
        <f>ROUND(C110-D112,2)</f>
        <v>0</v>
      </c>
      <c r="G112" s="5">
        <v>1</v>
      </c>
    </row>
    <row r="113" spans="1:7" outlineLevel="1" x14ac:dyDescent="0.25">
      <c r="B113" s="47"/>
      <c r="C113" s="47"/>
      <c r="D113" s="47"/>
      <c r="E113" s="47"/>
    </row>
    <row r="114" spans="1:7" ht="27.75" customHeight="1" outlineLevel="1" x14ac:dyDescent="0.2">
      <c r="B114" s="75" t="s">
        <v>49</v>
      </c>
      <c r="C114" s="85"/>
      <c r="D114" s="85"/>
      <c r="E114" s="85"/>
      <c r="F114" s="86"/>
    </row>
    <row r="115" spans="1:7" ht="12.75" customHeight="1" outlineLevel="1" x14ac:dyDescent="0.2">
      <c r="A115" s="5">
        <f>IF(B115="La regla se cumple",1,0)</f>
        <v>1</v>
      </c>
      <c r="B115" s="9" t="str">
        <f>IF((F118=0),"La regla se cumple","La regla no se cumple,revise sus registros ")</f>
        <v>La regla se cumple</v>
      </c>
      <c r="C115" s="19" t="s">
        <v>7</v>
      </c>
      <c r="D115" s="20" t="s">
        <v>10</v>
      </c>
      <c r="E115" s="11"/>
      <c r="F115" s="12" t="s">
        <v>8</v>
      </c>
    </row>
    <row r="116" spans="1:7" ht="12.75" customHeight="1" outlineLevel="1" x14ac:dyDescent="0.2">
      <c r="A116" s="5"/>
      <c r="B116" s="9" t="str">
        <f>"Hacienda Pública / Patrimonio Generado Neto de " &amp; '[1]R-VALIDACIÓN'!A3-1</f>
        <v>Hacienda Pública / Patrimonio Generado Neto de 2022</v>
      </c>
      <c r="C116" s="19"/>
      <c r="D116" s="20"/>
      <c r="E116" s="11"/>
      <c r="F116" s="12"/>
    </row>
    <row r="117" spans="1:7" ht="15" customHeight="1" outlineLevel="1" x14ac:dyDescent="0.25">
      <c r="B117" s="32" t="str">
        <f>"Hacienda pública Pátrimonio Generado " &amp; '[1]R-VALIDACIÓN'!A3-1</f>
        <v>Hacienda pública Pátrimonio Generado 2022</v>
      </c>
      <c r="C117" s="48">
        <f>[1]ESF!H41</f>
        <v>508167027.90999997</v>
      </c>
      <c r="D117" s="42"/>
      <c r="E117" s="16"/>
    </row>
    <row r="118" spans="1:7" ht="15" customHeight="1" outlineLevel="1" x14ac:dyDescent="0.25">
      <c r="B118" s="32" t="str">
        <f>"Hacienda pública Pátrimonio Generado Neto " &amp; '[1]R-VALIDACIÓN'!A3-1</f>
        <v>Hacienda pública Pátrimonio Generado Neto 2022</v>
      </c>
      <c r="C118" s="49"/>
      <c r="D118" s="23">
        <f>[1]EVHP!H16</f>
        <v>508167027.90999997</v>
      </c>
      <c r="E118" s="16"/>
      <c r="F118" s="31">
        <f>ROUND(C117-D118,2)</f>
        <v>0</v>
      </c>
      <c r="G118" s="5">
        <v>1</v>
      </c>
    </row>
    <row r="119" spans="1:7" outlineLevel="1" x14ac:dyDescent="0.25">
      <c r="B119" s="47"/>
      <c r="C119" s="47"/>
      <c r="D119" s="47"/>
    </row>
    <row r="120" spans="1:7" ht="52.5" customHeight="1" outlineLevel="1" x14ac:dyDescent="0.2">
      <c r="B120" s="75" t="s">
        <v>50</v>
      </c>
      <c r="C120" s="85"/>
      <c r="D120" s="85"/>
      <c r="E120" s="85"/>
      <c r="F120" s="86"/>
    </row>
    <row r="121" spans="1:7" ht="15.75" customHeight="1" outlineLevel="1" x14ac:dyDescent="0.2">
      <c r="A121" s="5">
        <f>IF(B121="La regla se cumple",1,0)</f>
        <v>1</v>
      </c>
      <c r="B121" s="9" t="str">
        <f>IF((F124=0),"La regla se cumple", "La regla no se cumple, revise sus registros")</f>
        <v>La regla se cumple</v>
      </c>
      <c r="C121" s="19" t="s">
        <v>7</v>
      </c>
      <c r="D121" s="20" t="s">
        <v>10</v>
      </c>
      <c r="E121" s="20"/>
      <c r="F121" s="12" t="s">
        <v>8</v>
      </c>
    </row>
    <row r="122" spans="1:7" ht="15" customHeight="1" outlineLevel="1" x14ac:dyDescent="0.2">
      <c r="A122" s="5"/>
      <c r="B122" s="9" t="s">
        <v>51</v>
      </c>
      <c r="C122" s="19"/>
      <c r="D122" s="20"/>
      <c r="E122" s="20"/>
      <c r="F122" s="12"/>
    </row>
    <row r="123" spans="1:7" ht="15" customHeight="1" outlineLevel="1" x14ac:dyDescent="0.25">
      <c r="B123" s="32" t="str">
        <f>"Exceso o insuficiencia en Actulización de la hacienda Pública/Patrimonio " &amp; '[1]R-VALIDACIÓN'!A3-1</f>
        <v>Exceso o insuficiencia en Actulización de la hacienda Pública/Patrimonio 2022</v>
      </c>
      <c r="C123" s="21">
        <f>[1]ESF!H48</f>
        <v>0</v>
      </c>
      <c r="D123" s="42"/>
      <c r="E123" s="50"/>
    </row>
    <row r="124" spans="1:7" ht="15" customHeight="1" outlineLevel="1" x14ac:dyDescent="0.25">
      <c r="B124" s="32" t="str">
        <f>"Exceso o insuficiencia en la actualziación de Haciendas Publicas " &amp; '[1]R-VALIDACIÓN'!A3-1</f>
        <v>Exceso o insuficiencia en la actualziación de Haciendas Publicas 2022</v>
      </c>
      <c r="C124" s="46"/>
      <c r="D124" s="23">
        <f>[1]EVHP!G23</f>
        <v>0</v>
      </c>
      <c r="E124" s="3"/>
      <c r="F124" s="28">
        <f>ROUND(C123-D124,2)</f>
        <v>0</v>
      </c>
      <c r="G124" s="5">
        <v>1</v>
      </c>
    </row>
    <row r="125" spans="1:7" ht="15" customHeight="1" outlineLevel="1" x14ac:dyDescent="0.25">
      <c r="B125" s="32" t="str">
        <f>"Exceso o insuficiencia en la actualziación de Haciendas Publicas " &amp; '[1]R-VALIDACIÓN'!A3-1 &amp; "/Total "</f>
        <v xml:space="preserve">Exceso o insuficiencia en la actualziación de Haciendas Publicas 2022/Total </v>
      </c>
      <c r="C125" s="46"/>
      <c r="D125" s="23">
        <f>[1]EVHP!H23</f>
        <v>0</v>
      </c>
      <c r="E125" s="3"/>
      <c r="F125" s="28">
        <f>ROUND(C123-D125,2)</f>
        <v>0</v>
      </c>
      <c r="G125" s="5">
        <v>1</v>
      </c>
    </row>
    <row r="126" spans="1:7" outlineLevel="1" x14ac:dyDescent="0.25">
      <c r="B126" s="47"/>
      <c r="C126" s="47"/>
      <c r="D126" s="47"/>
    </row>
    <row r="127" spans="1:7" ht="36.75" customHeight="1" outlineLevel="1" x14ac:dyDescent="0.2">
      <c r="B127" s="75" t="s">
        <v>52</v>
      </c>
      <c r="C127" s="85"/>
      <c r="D127" s="85"/>
      <c r="E127" s="85"/>
      <c r="F127" s="86"/>
    </row>
    <row r="128" spans="1:7" ht="15.75" customHeight="1" outlineLevel="1" x14ac:dyDescent="0.2">
      <c r="A128" s="5">
        <f>IF(B128="La regla se cumple",1,0)</f>
        <v>1</v>
      </c>
      <c r="B128" s="9" t="str">
        <f>IF(AND(F133=0,F134=0),"La regla se cumple", "La regla no se cumple, revise sus registros")</f>
        <v>La regla se cumple</v>
      </c>
      <c r="C128" s="19" t="s">
        <v>7</v>
      </c>
      <c r="D128" s="20" t="s">
        <v>10</v>
      </c>
      <c r="E128" s="11"/>
      <c r="F128" s="12" t="s">
        <v>8</v>
      </c>
    </row>
    <row r="129" spans="1:7" ht="15.75" customHeight="1" outlineLevel="1" x14ac:dyDescent="0.2">
      <c r="A129" s="5"/>
      <c r="B129" s="9" t="str">
        <f>"Hacienda Pública / Patrimonio"</f>
        <v>Hacienda Pública / Patrimonio</v>
      </c>
      <c r="C129" s="19"/>
      <c r="D129" s="20"/>
      <c r="E129" s="11"/>
      <c r="F129" s="12"/>
    </row>
    <row r="130" spans="1:7" ht="15" customHeight="1" outlineLevel="1" x14ac:dyDescent="0.25">
      <c r="B130" s="32" t="str">
        <f>"Total Hacienda Pública /Patrimonio " &amp; '[1]R-VALIDACIÓN'!A3-1</f>
        <v>Total Hacienda Pública /Patrimonio 2022</v>
      </c>
      <c r="C130" s="48">
        <f>[1]ESF!H52</f>
        <v>508167027.90999997</v>
      </c>
      <c r="D130" s="42"/>
      <c r="E130" s="16"/>
    </row>
    <row r="131" spans="1:7" ht="15" customHeight="1" outlineLevel="1" x14ac:dyDescent="0.25">
      <c r="B131" s="32" t="str">
        <f>"Total Hacienda Pública /Patrimonio " &amp; '[1]R-VALIDACIÓN'!A3</f>
        <v>Total Hacienda Pública /Patrimonio 2023</v>
      </c>
      <c r="C131" s="21">
        <f>[1]ESF!G52</f>
        <v>788913334.17999995</v>
      </c>
      <c r="D131" s="42"/>
      <c r="E131" s="16"/>
    </row>
    <row r="132" spans="1:7" ht="15" customHeight="1" outlineLevel="1" x14ac:dyDescent="0.25">
      <c r="B132" s="29" t="str">
        <f>"Hacienda Pública / Patrimonio Neto Final de " &amp; '[1]R-VALIDACIÓN'!A3</f>
        <v>Hacienda Pública / Patrimonio Neto Final de 2023</v>
      </c>
      <c r="C132" s="46"/>
      <c r="D132" s="51"/>
      <c r="E132" s="16"/>
    </row>
    <row r="133" spans="1:7" ht="15" customHeight="1" outlineLevel="1" x14ac:dyDescent="0.25">
      <c r="B133" s="32" t="str">
        <f>"Hacienda Pública /Patrimonio Neto Final " &amp; '[1]R-VALIDACIÓN'!A3-1</f>
        <v>Hacienda Pública /Patrimonio Neto Final 2022</v>
      </c>
      <c r="C133" s="46"/>
      <c r="D133" s="23">
        <f>[1]EVHP!H27</f>
        <v>508167027.90999997</v>
      </c>
      <c r="F133" s="31">
        <f>ROUND(C130-D133,2)</f>
        <v>0</v>
      </c>
      <c r="G133" s="5">
        <v>1</v>
      </c>
    </row>
    <row r="134" spans="1:7" ht="15" customHeight="1" outlineLevel="1" x14ac:dyDescent="0.25">
      <c r="B134" s="32" t="str">
        <f>"Hacienda Pública /Patrimonio Neto Final " &amp; '[1]R-VALIDACIÓN'!A3</f>
        <v>Hacienda Pública /Patrimonio Neto Final 2023</v>
      </c>
      <c r="C134" s="46"/>
      <c r="D134" s="23">
        <f>[1]EVHP!H45</f>
        <v>788913334.17999995</v>
      </c>
      <c r="F134" s="31">
        <f>ROUND(C131-D134,2)</f>
        <v>0</v>
      </c>
      <c r="G134" s="5">
        <v>1</v>
      </c>
    </row>
    <row r="135" spans="1:7" x14ac:dyDescent="0.25">
      <c r="D135" s="2"/>
    </row>
    <row r="136" spans="1:7" ht="17.25" x14ac:dyDescent="0.3">
      <c r="A136" s="5" t="str">
        <f>CONCATENATE(COUNTIF(A139:A208,"=1"),"/12")</f>
        <v>12/12</v>
      </c>
      <c r="B136" s="78" t="s">
        <v>53</v>
      </c>
      <c r="C136" s="78"/>
      <c r="D136" s="78"/>
      <c r="E136" s="78"/>
      <c r="F136" s="78"/>
      <c r="G136" s="5">
        <f>SUM(G141:G251)</f>
        <v>78</v>
      </c>
    </row>
    <row r="137" spans="1:7" outlineLevel="1" x14ac:dyDescent="0.25"/>
    <row r="138" spans="1:7" ht="30.75" customHeight="1" outlineLevel="1" x14ac:dyDescent="0.2">
      <c r="B138" s="75" t="s">
        <v>54</v>
      </c>
      <c r="C138" s="85"/>
      <c r="D138" s="85"/>
      <c r="E138" s="85"/>
      <c r="F138" s="86"/>
    </row>
    <row r="139" spans="1:7" ht="15.75" customHeight="1" outlineLevel="1" x14ac:dyDescent="0.2">
      <c r="A139" s="5">
        <f>IF(B139="La regla se cumple",1,0)</f>
        <v>1</v>
      </c>
      <c r="B139" s="9" t="str">
        <f>IF((F37=0),"La regla se cumple", "La regla no se cumple, revise sus registros")</f>
        <v>La regla se cumple</v>
      </c>
      <c r="C139" s="19" t="s">
        <v>10</v>
      </c>
      <c r="D139" s="20" t="s">
        <v>7</v>
      </c>
      <c r="E139" s="20"/>
      <c r="F139" s="12" t="s">
        <v>8</v>
      </c>
    </row>
    <row r="140" spans="1:7" ht="15.75" customHeight="1" outlineLevel="1" x14ac:dyDescent="0.2">
      <c r="A140" s="5"/>
      <c r="B140" s="9" t="str">
        <f>"Hacienda Pública / Patrimonio Contribuido Neto de " &amp; '[1]R-VALIDACIÓN'!A3-1</f>
        <v>Hacienda Pública / Patrimonio Contribuido Neto de 2022</v>
      </c>
      <c r="C140" s="19"/>
      <c r="D140" s="20"/>
      <c r="E140" s="20"/>
      <c r="F140" s="12"/>
    </row>
    <row r="141" spans="1:7" outlineLevel="1" x14ac:dyDescent="0.25">
      <c r="B141" s="30" t="str">
        <f>"Hacienda Pública /Patrimonio Contribuido Neto " &amp; '[1]R-VALIDACIÓN'!A3-1 &amp;" / columna Hacienda Pública/Patrimonio Contribuido "</f>
        <v xml:space="preserve">Hacienda Pública /Patrimonio Contribuido Neto 2022 / columna Hacienda Pública/Patrimonio Contribuido </v>
      </c>
      <c r="C141" s="52">
        <f>[1]EVHP!D11</f>
        <v>0</v>
      </c>
      <c r="D141" s="53"/>
      <c r="E141" s="54"/>
      <c r="F141" s="28"/>
    </row>
    <row r="142" spans="1:7" outlineLevel="1" x14ac:dyDescent="0.25">
      <c r="B142" s="30" t="str">
        <f>"Hacienda Pública /Patrimonio Contribuido  Neto " &amp; '[1]R-VALIDACIÓN'!A3-1 &amp; " / columna Total"</f>
        <v>Hacienda Pública /Patrimonio Contribuido  Neto 2022 / columna Total</v>
      </c>
      <c r="C142" s="52">
        <f>[1]EVHP!H11</f>
        <v>0</v>
      </c>
      <c r="D142" s="53"/>
      <c r="E142" s="54"/>
      <c r="F142" s="31">
        <f>ROUND(C141-D143,2)</f>
        <v>0</v>
      </c>
      <c r="G142" s="5">
        <v>1</v>
      </c>
    </row>
    <row r="143" spans="1:7" outlineLevel="1" x14ac:dyDescent="0.25">
      <c r="B143" s="30" t="str">
        <f>"Hacienda Pública /Patrimonio Contribuido " &amp; '[1]R-VALIDACIÓN'!A3-1</f>
        <v>Hacienda Pública /Patrimonio Contribuido 2022</v>
      </c>
      <c r="C143" s="55"/>
      <c r="D143" s="23">
        <f>[1]ESF!H36</f>
        <v>0</v>
      </c>
      <c r="E143" s="54"/>
      <c r="F143" s="31">
        <f>ROUND(C142-D143,2)</f>
        <v>0</v>
      </c>
      <c r="G143" s="5">
        <v>1</v>
      </c>
    </row>
    <row r="144" spans="1:7" outlineLevel="1" x14ac:dyDescent="0.25">
      <c r="B144" s="47"/>
      <c r="C144" s="47"/>
      <c r="D144" s="47"/>
    </row>
    <row r="145" spans="1:7" ht="35.25" customHeight="1" outlineLevel="1" x14ac:dyDescent="0.2">
      <c r="B145" s="75" t="s">
        <v>55</v>
      </c>
      <c r="C145" s="76"/>
      <c r="D145" s="76"/>
      <c r="E145" s="76"/>
      <c r="F145" s="77"/>
    </row>
    <row r="146" spans="1:7" ht="15.75" customHeight="1" outlineLevel="1" x14ac:dyDescent="0.2">
      <c r="A146" s="5">
        <f>IF(B146="La regla se cumple",1,0)</f>
        <v>1</v>
      </c>
      <c r="B146" s="9" t="str">
        <f>IF((F149=0),"La regla se cumple", "La regla no se cumple, revise sus registros")</f>
        <v>La regla se cumple</v>
      </c>
      <c r="C146" s="19" t="s">
        <v>10</v>
      </c>
      <c r="D146" s="20" t="s">
        <v>7</v>
      </c>
      <c r="E146" s="19"/>
      <c r="F146" s="12" t="s">
        <v>8</v>
      </c>
    </row>
    <row r="147" spans="1:7" ht="15.75" customHeight="1" outlineLevel="1" x14ac:dyDescent="0.2">
      <c r="A147" s="5"/>
      <c r="B147" s="9" t="str">
        <f>"Hacienda Pública / Patrimonio Contribuido Neto de " &amp; '[1]R-VALIDACIÓN'!A3-1</f>
        <v>Hacienda Pública / Patrimonio Contribuido Neto de 2022</v>
      </c>
      <c r="C147" s="19"/>
      <c r="D147" s="20"/>
      <c r="E147" s="20"/>
      <c r="F147" s="12"/>
    </row>
    <row r="148" spans="1:7" outlineLevel="1" x14ac:dyDescent="0.25">
      <c r="B148" s="32" t="str">
        <f>"Hacienda Pública /Patrimonio Contribuido  Neto " &amp; '[1]R-VALIDACIÓN'!A3-1 &amp; " / columna Total"</f>
        <v>Hacienda Pública /Patrimonio Contribuido  Neto 2022 / columna Total</v>
      </c>
      <c r="C148" s="21">
        <f>[1]EVHP!H16</f>
        <v>508167027.90999997</v>
      </c>
      <c r="D148" s="53"/>
      <c r="E148" s="56"/>
      <c r="F148" s="28"/>
    </row>
    <row r="149" spans="1:7" outlineLevel="1" x14ac:dyDescent="0.25">
      <c r="B149" s="32" t="str">
        <f>"Hacienda Pública /Patrimonio Contribuido " &amp; '[1]R-VALIDACIÓN'!A3-1</f>
        <v>Hacienda Pública /Patrimonio Contribuido 2022</v>
      </c>
      <c r="C149" s="55"/>
      <c r="D149" s="23">
        <f>[1]ESF!H41</f>
        <v>508167027.90999997</v>
      </c>
      <c r="E149" s="56"/>
      <c r="F149" s="31">
        <f>ROUND(C148-D149,2)</f>
        <v>0</v>
      </c>
      <c r="G149" s="5">
        <v>1</v>
      </c>
    </row>
    <row r="150" spans="1:7" outlineLevel="1" x14ac:dyDescent="0.25">
      <c r="B150" s="47"/>
      <c r="C150" s="47"/>
      <c r="D150" s="47"/>
    </row>
    <row r="151" spans="1:7" ht="50.25" customHeight="1" outlineLevel="1" x14ac:dyDescent="0.2">
      <c r="B151" s="75" t="s">
        <v>56</v>
      </c>
      <c r="C151" s="76"/>
      <c r="D151" s="76"/>
      <c r="E151" s="76"/>
      <c r="F151" s="77"/>
    </row>
    <row r="152" spans="1:7" ht="15.75" customHeight="1" outlineLevel="1" x14ac:dyDescent="0.2">
      <c r="A152" s="5">
        <f>IF(B152="La regla se cumple",1,0)</f>
        <v>1</v>
      </c>
      <c r="B152" s="9" t="str">
        <f>IF((F155=0),"La regla se cumple", "La regla no se cumple, revise sus registros")</f>
        <v>La regla se cumple</v>
      </c>
      <c r="C152" s="19" t="s">
        <v>10</v>
      </c>
      <c r="D152" s="20" t="s">
        <v>7</v>
      </c>
      <c r="E152" s="19"/>
      <c r="F152" s="12" t="s">
        <v>8</v>
      </c>
    </row>
    <row r="153" spans="1:7" ht="15.75" customHeight="1" outlineLevel="1" x14ac:dyDescent="0.2">
      <c r="A153" s="5"/>
      <c r="B153" s="9" t="str">
        <f>"Exceso o Insuficiencia en la Actualización de la Hacienda Pública / Patrimonio Neto de " &amp; '[1]R-VALIDACIÓN'!A3-1</f>
        <v>Exceso o Insuficiencia en la Actualización de la Hacienda Pública / Patrimonio Neto de 2022</v>
      </c>
      <c r="C153" s="19"/>
      <c r="D153" s="20"/>
      <c r="E153" s="19"/>
      <c r="F153" s="12"/>
    </row>
    <row r="154" spans="1:7" outlineLevel="1" x14ac:dyDescent="0.25">
      <c r="B154" s="32" t="str">
        <f>"Exceso o insuficiencia en la actualziación de Haciendas Publicas/Patrimonio Neto " &amp; '[1]R-VALIDACIÓN'!A3-1 &amp; " /Total"</f>
        <v>Exceso o insuficiencia en la actualziación de Haciendas Publicas/Patrimonio Neto 2022 /Total</v>
      </c>
      <c r="C154" s="21">
        <f>[1]EVHP!H23</f>
        <v>0</v>
      </c>
      <c r="D154" s="53"/>
      <c r="E154" s="56"/>
      <c r="F154" s="28"/>
    </row>
    <row r="155" spans="1:7" outlineLevel="1" x14ac:dyDescent="0.25">
      <c r="B155" s="32" t="str">
        <f>"Exceso o insuficiencia en la actualziación de Haciendas Publicas/Patrimonio " &amp; '[1]R-VALIDACIÓN'!A3-1</f>
        <v>Exceso o insuficiencia en la actualziación de Haciendas Publicas/Patrimonio 2022</v>
      </c>
      <c r="C155" s="55"/>
      <c r="D155" s="23">
        <f>[1]ESF!H48</f>
        <v>0</v>
      </c>
      <c r="E155" s="56"/>
      <c r="F155" s="31">
        <f>ROUND(C154-D155,2)</f>
        <v>0</v>
      </c>
      <c r="G155" s="5">
        <v>1</v>
      </c>
    </row>
    <row r="156" spans="1:7" outlineLevel="1" x14ac:dyDescent="0.25">
      <c r="B156" s="47"/>
      <c r="C156" s="47"/>
      <c r="D156" s="47"/>
    </row>
    <row r="157" spans="1:7" ht="39" customHeight="1" outlineLevel="1" x14ac:dyDescent="0.2">
      <c r="B157" s="75" t="s">
        <v>57</v>
      </c>
      <c r="C157" s="76"/>
      <c r="D157" s="76"/>
      <c r="E157" s="76"/>
      <c r="F157" s="77"/>
    </row>
    <row r="158" spans="1:7" ht="15.75" customHeight="1" outlineLevel="1" x14ac:dyDescent="0.2">
      <c r="A158" s="5">
        <f>IF(B158="La regla se cumple",1,0)</f>
        <v>1</v>
      </c>
      <c r="B158" s="9" t="str">
        <f>IF(AND(F164=0,F165=0),"La regla se cumple", "La regla no se cumple, revise sus registros")</f>
        <v>La regla se cumple</v>
      </c>
      <c r="C158" s="19" t="s">
        <v>10</v>
      </c>
      <c r="D158" s="20" t="s">
        <v>7</v>
      </c>
      <c r="E158" s="19"/>
      <c r="F158" s="12" t="s">
        <v>8</v>
      </c>
    </row>
    <row r="159" spans="1:7" ht="15.75" customHeight="1" outlineLevel="1" x14ac:dyDescent="0.2">
      <c r="A159" s="5"/>
      <c r="B159" s="9" t="str">
        <f>"Hacienda Pública / Patrimonio Neto Final de " &amp; '[1]R-VALIDACIÓN'!A3-1</f>
        <v>Hacienda Pública / Patrimonio Neto Final de 2022</v>
      </c>
      <c r="C159" s="19"/>
      <c r="D159" s="20"/>
      <c r="E159" s="19"/>
      <c r="F159" s="12"/>
    </row>
    <row r="160" spans="1:7" outlineLevel="1" x14ac:dyDescent="0.25">
      <c r="B160" s="32" t="str">
        <f>"Hacienda Pública /Patrimonio Neto Final " &amp; '[1]R-VALIDACIÓN'!A3-1 &amp;" / Columna Total"</f>
        <v>Hacienda Pública /Patrimonio Neto Final 2022 / Columna Total</v>
      </c>
      <c r="C160" s="23">
        <f>[1]EVHP!H27</f>
        <v>508167027.90999997</v>
      </c>
      <c r="D160" s="57"/>
      <c r="E160" s="56"/>
      <c r="F160" s="28"/>
    </row>
    <row r="161" spans="1:7" outlineLevel="1" x14ac:dyDescent="0.25">
      <c r="B161" s="29" t="str">
        <f>"Hacienda Pública / Patrimonio Neto Final de " &amp; '[1]R-VALIDACIÓN'!A3-1</f>
        <v>Hacienda Pública / Patrimonio Neto Final de 2022</v>
      </c>
      <c r="C161" s="56"/>
      <c r="D161" s="56"/>
      <c r="E161" s="56"/>
      <c r="F161" s="28"/>
    </row>
    <row r="162" spans="1:7" outlineLevel="1" x14ac:dyDescent="0.25">
      <c r="B162" s="32" t="str">
        <f>"Hacienda Pública /Patrimonio Neto Final " &amp; '[1]R-VALIDACIÓN'!A3-1 &amp; " / Columna Total"</f>
        <v>Hacienda Pública /Patrimonio Neto Final 2022 / Columna Total</v>
      </c>
      <c r="C162" s="23">
        <f>[1]EVHP!H45</f>
        <v>788913334.17999995</v>
      </c>
      <c r="D162" s="57"/>
      <c r="E162" s="56"/>
      <c r="F162" s="28"/>
    </row>
    <row r="163" spans="1:7" outlineLevel="1" x14ac:dyDescent="0.25">
      <c r="C163" s="56"/>
      <c r="D163" s="54"/>
      <c r="E163" s="56"/>
      <c r="F163" s="28"/>
    </row>
    <row r="164" spans="1:7" outlineLevel="1" x14ac:dyDescent="0.25">
      <c r="B164" s="32" t="str">
        <f>"Total de Hacienda Pública Patrimonio " &amp; '[1]R-VALIDACIÓN'!A3-1</f>
        <v>Total de Hacienda Pública Patrimonio 2022</v>
      </c>
      <c r="C164" s="55"/>
      <c r="D164" s="21">
        <f>[1]ESF!H52</f>
        <v>508167027.90999997</v>
      </c>
      <c r="E164" s="56"/>
      <c r="F164" s="31">
        <f>ROUND(C160-D164,2)</f>
        <v>0</v>
      </c>
      <c r="G164" s="5">
        <v>1</v>
      </c>
    </row>
    <row r="165" spans="1:7" outlineLevel="1" x14ac:dyDescent="0.25">
      <c r="B165" s="32" t="str">
        <f>"Total de Hacienda Pública Patrimonio " &amp; '[1]R-VALIDACIÓN'!A3</f>
        <v>Total de Hacienda Pública Patrimonio 2023</v>
      </c>
      <c r="C165" s="55"/>
      <c r="D165" s="21">
        <f>[1]ESF!G52</f>
        <v>788913334.17999995</v>
      </c>
      <c r="E165" s="56"/>
      <c r="F165" s="31">
        <f>ROUND(C162-D165,2)</f>
        <v>0</v>
      </c>
      <c r="G165" s="5">
        <v>1</v>
      </c>
    </row>
    <row r="166" spans="1:7" outlineLevel="1" x14ac:dyDescent="0.25">
      <c r="B166" s="47"/>
      <c r="C166" s="47"/>
      <c r="D166" s="47"/>
      <c r="E166" s="58"/>
    </row>
    <row r="167" spans="1:7" ht="46.5" customHeight="1" outlineLevel="1" x14ac:dyDescent="0.2">
      <c r="B167" s="75" t="s">
        <v>58</v>
      </c>
      <c r="C167" s="76"/>
      <c r="D167" s="76"/>
      <c r="E167" s="76"/>
      <c r="F167" s="77"/>
    </row>
    <row r="168" spans="1:7" ht="15.75" customHeight="1" outlineLevel="1" x14ac:dyDescent="0.2">
      <c r="A168" s="5">
        <f>IF(B168="La regla se cumple",1,0)</f>
        <v>1</v>
      </c>
      <c r="B168" s="9" t="str">
        <f>IF((F170+F171+F172)=0,"La regla se cumple", "La regla no se cumple, revise sus registros")</f>
        <v>La regla se cumple</v>
      </c>
      <c r="C168" s="19" t="s">
        <v>10</v>
      </c>
      <c r="D168" s="20" t="s">
        <v>59</v>
      </c>
      <c r="E168" s="20" t="s">
        <v>60</v>
      </c>
      <c r="F168" s="12" t="s">
        <v>8</v>
      </c>
    </row>
    <row r="169" spans="1:7" ht="15.75" customHeight="1" outlineLevel="1" x14ac:dyDescent="0.2">
      <c r="A169" s="5"/>
      <c r="B169" s="9" t="str">
        <f>"Cambios en la Hacienda Pública/Patrimonio Contribuido Neto de " &amp; '[1]R-VALIDACIÓN'!A3</f>
        <v>Cambios en la Hacienda Pública/Patrimonio Contribuido Neto de 2023</v>
      </c>
      <c r="C169" s="19"/>
      <c r="D169" s="20"/>
      <c r="E169" s="20"/>
      <c r="F169" s="12"/>
    </row>
    <row r="170" spans="1:7" ht="15.75" customHeight="1" outlineLevel="1" x14ac:dyDescent="0.25">
      <c r="B170" s="32" t="s">
        <v>61</v>
      </c>
      <c r="C170" s="21">
        <f>[1]EVHP!D30</f>
        <v>0</v>
      </c>
      <c r="D170" s="23">
        <f>[1]ECSF!E52</f>
        <v>0</v>
      </c>
      <c r="E170" s="23">
        <f>[1]ECSF!F52</f>
        <v>0</v>
      </c>
      <c r="F170" s="31">
        <f>ROUND(C170-(D170-E170),2)</f>
        <v>0</v>
      </c>
      <c r="G170" s="5">
        <v>2</v>
      </c>
    </row>
    <row r="171" spans="1:7" ht="15.75" customHeight="1" outlineLevel="1" x14ac:dyDescent="0.25">
      <c r="B171" s="32" t="s">
        <v>62</v>
      </c>
      <c r="C171" s="21">
        <f>[1]EVHP!D31</f>
        <v>0</v>
      </c>
      <c r="D171" s="23">
        <f>[1]ECSF!E53</f>
        <v>0</v>
      </c>
      <c r="E171" s="23">
        <f>[1]ECSF!F53</f>
        <v>0</v>
      </c>
      <c r="F171" s="31">
        <f t="shared" ref="F171:F172" si="2">ROUND(C171-(D171-E171),2)</f>
        <v>0</v>
      </c>
      <c r="G171" s="5">
        <v>2</v>
      </c>
    </row>
    <row r="172" spans="1:7" ht="15.75" customHeight="1" outlineLevel="1" x14ac:dyDescent="0.25">
      <c r="B172" s="32" t="s">
        <v>63</v>
      </c>
      <c r="C172" s="21">
        <f>[1]EVHP!D32</f>
        <v>0</v>
      </c>
      <c r="D172" s="23">
        <f>[1]ECSF!E54</f>
        <v>0</v>
      </c>
      <c r="E172" s="23">
        <f>[1]ECSF!F54</f>
        <v>0</v>
      </c>
      <c r="F172" s="31">
        <f t="shared" si="2"/>
        <v>0</v>
      </c>
      <c r="G172" s="5">
        <v>2</v>
      </c>
    </row>
    <row r="173" spans="1:7" outlineLevel="1" x14ac:dyDescent="0.25">
      <c r="B173" s="32"/>
    </row>
    <row r="174" spans="1:7" ht="50.25" customHeight="1" outlineLevel="1" x14ac:dyDescent="0.2">
      <c r="B174" s="75" t="s">
        <v>64</v>
      </c>
      <c r="C174" s="76"/>
      <c r="D174" s="76"/>
      <c r="E174" s="76"/>
      <c r="F174" s="77"/>
    </row>
    <row r="175" spans="1:7" ht="15.75" customHeight="1" outlineLevel="1" x14ac:dyDescent="0.2">
      <c r="A175" s="5">
        <f>IF(B175="La regla se cumple",1,0)</f>
        <v>1</v>
      </c>
      <c r="B175" s="9" t="str">
        <f>IF((F177+F178+F179)=0,"La regla se cumple", "La regla no se cumple, revise sus registros")</f>
        <v>La regla se cumple</v>
      </c>
      <c r="C175" s="19" t="s">
        <v>10</v>
      </c>
      <c r="D175" s="20" t="s">
        <v>59</v>
      </c>
      <c r="E175" s="20" t="s">
        <v>60</v>
      </c>
      <c r="F175" s="12" t="s">
        <v>8</v>
      </c>
    </row>
    <row r="176" spans="1:7" ht="15.75" customHeight="1" outlineLevel="1" x14ac:dyDescent="0.2">
      <c r="A176" s="5"/>
      <c r="B176" s="9" t="str">
        <f>"Variaciones de la Hacenda Pública/ Patrimonio Generado Neto " &amp; '[1]R-VALIDACIÓN'!A3</f>
        <v>Variaciones de la Hacenda Pública/ Patrimonio Generado Neto 2023</v>
      </c>
      <c r="C176" s="19"/>
      <c r="D176" s="20"/>
      <c r="E176" s="20"/>
      <c r="F176" s="12"/>
    </row>
    <row r="177" spans="1:7" outlineLevel="1" x14ac:dyDescent="0.25">
      <c r="B177" s="32" t="s">
        <v>65</v>
      </c>
      <c r="C177" s="21">
        <f>[1]EVHP!F37</f>
        <v>0</v>
      </c>
      <c r="D177" s="23">
        <f>[1]ECSF!E59</f>
        <v>0</v>
      </c>
      <c r="E177" s="23">
        <f>[1]ECSF!F59</f>
        <v>0</v>
      </c>
      <c r="F177" s="31">
        <f>ROUND(C177-(D177-E177),2)</f>
        <v>0</v>
      </c>
      <c r="G177" s="5">
        <v>2</v>
      </c>
    </row>
    <row r="178" spans="1:7" outlineLevel="1" x14ac:dyDescent="0.25">
      <c r="B178" s="32" t="s">
        <v>66</v>
      </c>
      <c r="C178" s="21">
        <f>[1]EVHP!F38</f>
        <v>0</v>
      </c>
      <c r="D178" s="23">
        <f>[1]ECSF!E60</f>
        <v>0</v>
      </c>
      <c r="E178" s="23">
        <f>[1]ECSF!F60</f>
        <v>0</v>
      </c>
      <c r="F178" s="31">
        <f t="shared" ref="F178:F179" si="3">ROUND(C178-(D178-E178),2)</f>
        <v>0</v>
      </c>
      <c r="G178" s="5">
        <v>2</v>
      </c>
    </row>
    <row r="179" spans="1:7" outlineLevel="1" x14ac:dyDescent="0.25">
      <c r="B179" s="32" t="s">
        <v>67</v>
      </c>
      <c r="C179" s="21">
        <f>[1]EVHP!F39</f>
        <v>-89435.800000011921</v>
      </c>
      <c r="D179" s="23">
        <f>[1]ECSF!E61</f>
        <v>0</v>
      </c>
      <c r="E179" s="23">
        <f>[1]ECSF!F61</f>
        <v>89435.800000011921</v>
      </c>
      <c r="F179" s="31">
        <f t="shared" si="3"/>
        <v>0</v>
      </c>
      <c r="G179" s="5">
        <v>2</v>
      </c>
    </row>
    <row r="180" spans="1:7" outlineLevel="1" x14ac:dyDescent="0.25"/>
    <row r="181" spans="1:7" ht="36.75" customHeight="1" outlineLevel="1" x14ac:dyDescent="0.2">
      <c r="B181" s="75" t="s">
        <v>68</v>
      </c>
      <c r="C181" s="76"/>
      <c r="D181" s="76"/>
      <c r="E181" s="76"/>
      <c r="F181" s="77"/>
    </row>
    <row r="182" spans="1:7" ht="15.75" customHeight="1" outlineLevel="1" x14ac:dyDescent="0.2">
      <c r="A182" s="5">
        <f>IF(B182="La regla se cumple",1,0)</f>
        <v>1</v>
      </c>
      <c r="B182" s="9" t="str">
        <f>IF(F184=0,"La regla se cumple", "La regla no se cumple, revise sus registros")</f>
        <v>La regla se cumple</v>
      </c>
      <c r="C182" s="2" t="s">
        <v>10</v>
      </c>
      <c r="D182" s="3" t="s">
        <v>59</v>
      </c>
      <c r="E182" s="3" t="s">
        <v>60</v>
      </c>
      <c r="F182" s="12" t="s">
        <v>8</v>
      </c>
    </row>
    <row r="183" spans="1:7" ht="15.75" customHeight="1" outlineLevel="1" x14ac:dyDescent="0.2">
      <c r="A183" s="5"/>
      <c r="B183" s="9" t="str">
        <f>"Variaciones de la Hacenda Pública/ Patrimonio Generado Neto " &amp; '[1]R-VALIDACIÓN'!A3-1</f>
        <v>Variaciones de la Hacenda Pública/ Patrimonio Generado Neto 2022</v>
      </c>
      <c r="C183" s="19"/>
      <c r="D183" s="20"/>
      <c r="E183" s="20"/>
      <c r="F183" s="12"/>
    </row>
    <row r="184" spans="1:7" outlineLevel="1" x14ac:dyDescent="0.25">
      <c r="B184" s="32" t="s">
        <v>69</v>
      </c>
      <c r="C184" s="21">
        <f>[1]EVHP!E36</f>
        <v>55735336.99000001</v>
      </c>
      <c r="D184" s="23">
        <f>[1]ECSF!E58</f>
        <v>55735336.99000001</v>
      </c>
      <c r="E184" s="21">
        <f>[1]ECSF!F58</f>
        <v>0</v>
      </c>
      <c r="F184" s="31">
        <f>ROUND(C184-(D184-E184),2)</f>
        <v>0</v>
      </c>
      <c r="G184" s="5">
        <v>2</v>
      </c>
    </row>
    <row r="185" spans="1:7" outlineLevel="1" x14ac:dyDescent="0.25">
      <c r="B185" s="47"/>
      <c r="C185" s="47"/>
    </row>
    <row r="186" spans="1:7" ht="51" customHeight="1" outlineLevel="1" x14ac:dyDescent="0.2">
      <c r="B186" s="75" t="s">
        <v>70</v>
      </c>
      <c r="C186" s="76"/>
      <c r="D186" s="76"/>
      <c r="E186" s="76"/>
      <c r="F186" s="77"/>
    </row>
    <row r="187" spans="1:7" ht="15.75" customHeight="1" outlineLevel="1" x14ac:dyDescent="0.2">
      <c r="A187" s="5">
        <f>IF(B187="La regla se cumple",1,0)</f>
        <v>1</v>
      </c>
      <c r="B187" s="9" t="str">
        <f>IF(F189+F190=0,"La regla se cumple", "La regla no se cumple, revise sus registros")</f>
        <v>La regla se cumple</v>
      </c>
      <c r="C187" s="19" t="s">
        <v>10</v>
      </c>
      <c r="D187" s="20" t="s">
        <v>59</v>
      </c>
      <c r="E187" s="20" t="s">
        <v>60</v>
      </c>
      <c r="F187" s="12" t="s">
        <v>8</v>
      </c>
    </row>
    <row r="188" spans="1:7" ht="15.75" customHeight="1" outlineLevel="1" x14ac:dyDescent="0.2">
      <c r="A188" s="5"/>
      <c r="B188" s="9" t="str">
        <f>"Cambios en el Exceso O Insuficiencia en la Actualizacion de la Hacenda Pública/ Patrimonio Neto " &amp; '[1]R-VALIDACIÓN'!A3</f>
        <v>Cambios en el Exceso O Insuficiencia en la Actualizacion de la Hacenda Pública/ Patrimonio Neto 2023</v>
      </c>
      <c r="C188" s="19"/>
      <c r="D188" s="20"/>
      <c r="E188" s="20"/>
      <c r="F188" s="12"/>
    </row>
    <row r="189" spans="1:7" outlineLevel="1" x14ac:dyDescent="0.25">
      <c r="B189" s="32" t="s">
        <v>71</v>
      </c>
      <c r="C189" s="21">
        <f>[1]EVHP!G42</f>
        <v>0</v>
      </c>
      <c r="D189" s="23">
        <f>[1]ECSF!E64</f>
        <v>0</v>
      </c>
      <c r="E189" s="21">
        <f>[1]ECSF!F64</f>
        <v>0</v>
      </c>
      <c r="F189" s="31">
        <f t="shared" ref="F189:F190" si="4">ROUND(C189-(D189-E189),2)</f>
        <v>0</v>
      </c>
      <c r="G189" s="5">
        <v>2</v>
      </c>
    </row>
    <row r="190" spans="1:7" outlineLevel="1" x14ac:dyDescent="0.25">
      <c r="B190" s="32" t="s">
        <v>72</v>
      </c>
      <c r="C190" s="21">
        <f>[1]EVHP!G43</f>
        <v>0</v>
      </c>
      <c r="D190" s="23">
        <f>[1]ECSF!E65</f>
        <v>0</v>
      </c>
      <c r="E190" s="21">
        <f>[1]ECSF!F65</f>
        <v>0</v>
      </c>
      <c r="F190" s="31">
        <f t="shared" si="4"/>
        <v>0</v>
      </c>
      <c r="G190" s="5">
        <v>2</v>
      </c>
    </row>
    <row r="191" spans="1:7" ht="15" customHeight="1" outlineLevel="1" x14ac:dyDescent="0.25">
      <c r="C191" s="59"/>
    </row>
    <row r="192" spans="1:7" ht="41.25" customHeight="1" outlineLevel="1" x14ac:dyDescent="0.2">
      <c r="B192" s="75" t="s">
        <v>73</v>
      </c>
      <c r="C192" s="76"/>
      <c r="D192" s="76"/>
      <c r="E192" s="76"/>
      <c r="F192" s="77"/>
    </row>
    <row r="193" spans="1:7" ht="15.75" customHeight="1" outlineLevel="1" x14ac:dyDescent="0.2">
      <c r="A193" s="5">
        <f>IF(B193="La regla se cumple",1,0)</f>
        <v>1</v>
      </c>
      <c r="B193" s="9" t="str">
        <f>IF(F195=0,"La regla se cumple", "La regla no se cumple, revise sus registros")</f>
        <v>La regla se cumple</v>
      </c>
      <c r="C193" s="19" t="s">
        <v>10</v>
      </c>
      <c r="D193" s="20" t="s">
        <v>6</v>
      </c>
      <c r="E193" s="19" t="s">
        <v>7</v>
      </c>
      <c r="F193" s="12" t="s">
        <v>8</v>
      </c>
    </row>
    <row r="194" spans="1:7" ht="15.75" customHeight="1" outlineLevel="1" x14ac:dyDescent="0.2">
      <c r="A194" s="5"/>
      <c r="B194" s="9" t="str">
        <f>"Variaciones de la Hacenda Pública/ Patrimonio Generado Neto " &amp; '[1]R-VALIDACIÓN'!A3</f>
        <v>Variaciones de la Hacenda Pública/ Patrimonio Generado Neto 2023</v>
      </c>
      <c r="C194" s="19"/>
      <c r="D194" s="20"/>
      <c r="E194" s="20"/>
      <c r="F194" s="12"/>
    </row>
    <row r="195" spans="1:7" outlineLevel="1" x14ac:dyDescent="0.25">
      <c r="B195" s="32" t="s">
        <v>74</v>
      </c>
      <c r="C195" s="21">
        <f>ROUND([1]EVHP!F35,2)</f>
        <v>280835742.06999999</v>
      </c>
      <c r="D195" s="23">
        <f>ROUND([1]EA!F72,2)</f>
        <v>280835742.06999999</v>
      </c>
      <c r="E195" s="21">
        <f>ROUND([1]ESF!G42,2)</f>
        <v>280835742.06999999</v>
      </c>
      <c r="F195" s="31">
        <f>ROUND(IF(C195=E195,IF(C195=D195,0,C195-D195),C195-E195),2)</f>
        <v>0</v>
      </c>
      <c r="G195" s="5">
        <v>2</v>
      </c>
    </row>
    <row r="196" spans="1:7" outlineLevel="1" x14ac:dyDescent="0.25"/>
    <row r="197" spans="1:7" ht="34.5" customHeight="1" outlineLevel="1" x14ac:dyDescent="0.2">
      <c r="B197" s="75" t="s">
        <v>75</v>
      </c>
      <c r="C197" s="76"/>
      <c r="D197" s="76"/>
      <c r="E197" s="76"/>
      <c r="F197" s="77"/>
    </row>
    <row r="198" spans="1:7" ht="15.75" customHeight="1" outlineLevel="1" x14ac:dyDescent="0.2">
      <c r="A198" s="5">
        <f>IF(B198="La regla se cumple",1,0)</f>
        <v>1</v>
      </c>
      <c r="B198" s="9" t="str">
        <f>IF(F200=0,"La regla se cumple", "La regla no se cumple, revise sus registros")</f>
        <v>La regla se cumple</v>
      </c>
      <c r="C198" s="19" t="s">
        <v>10</v>
      </c>
      <c r="D198" s="20" t="s">
        <v>6</v>
      </c>
      <c r="E198" s="19" t="s">
        <v>7</v>
      </c>
      <c r="F198" s="12" t="s">
        <v>8</v>
      </c>
    </row>
    <row r="199" spans="1:7" ht="15.75" customHeight="1" outlineLevel="1" x14ac:dyDescent="0.2">
      <c r="A199" s="5"/>
      <c r="B199" s="9" t="str">
        <f>"Hacienda Pública / Patrimonio Generado Neto de " &amp; '[1]R-VALIDACIÓN'!A3-1</f>
        <v>Hacienda Pública / Patrimonio Generado Neto de 2022</v>
      </c>
      <c r="C199" s="19"/>
      <c r="D199" s="20"/>
      <c r="E199" s="20"/>
      <c r="F199" s="12"/>
    </row>
    <row r="200" spans="1:7" outlineLevel="1" x14ac:dyDescent="0.25">
      <c r="B200" s="32" t="str">
        <f>"Resultado del Ejercicio (Ahorro/Desahorro) " &amp; '[1]R-VALIDACIÓN'!A3-1</f>
        <v>Resultado del Ejercicio (Ahorro/Desahorro) 2022</v>
      </c>
      <c r="C200" s="21">
        <f>[1]EVHP!F17</f>
        <v>55735336.990000002</v>
      </c>
      <c r="D200" s="23">
        <f>[1]EA!G72</f>
        <v>55735336.98999995</v>
      </c>
      <c r="E200" s="21">
        <f>[1]ESF!H42</f>
        <v>55735336.990000002</v>
      </c>
      <c r="F200" s="31">
        <f>ROUND(IF(ABS(C200)=E200,IF(ABS(C200)=D200,0,C200-D200),ABS(C200)-ABS(E200)),2)</f>
        <v>0</v>
      </c>
      <c r="G200" s="5">
        <v>2</v>
      </c>
    </row>
    <row r="201" spans="1:7" outlineLevel="1" x14ac:dyDescent="0.25">
      <c r="B201" s="32"/>
    </row>
    <row r="202" spans="1:7" ht="50.25" customHeight="1" outlineLevel="1" x14ac:dyDescent="0.2">
      <c r="B202" s="75" t="s">
        <v>76</v>
      </c>
      <c r="C202" s="76"/>
      <c r="D202" s="76"/>
      <c r="E202" s="76"/>
      <c r="F202" s="77"/>
    </row>
    <row r="203" spans="1:7" ht="15.75" customHeight="1" outlineLevel="1" x14ac:dyDescent="0.2">
      <c r="A203" s="5">
        <f>IF(B203="La regla se cumple",1,0)</f>
        <v>1</v>
      </c>
      <c r="B203" s="9" t="str">
        <f>IF(F205=0,"La regla se cumple", "La regla no se cumple, revise sus registros")</f>
        <v>La regla se cumple</v>
      </c>
      <c r="C203" s="19" t="s">
        <v>10</v>
      </c>
      <c r="D203" s="20" t="s">
        <v>6</v>
      </c>
      <c r="E203" s="19" t="s">
        <v>7</v>
      </c>
      <c r="F203" s="12" t="s">
        <v>8</v>
      </c>
    </row>
    <row r="204" spans="1:7" ht="15.75" customHeight="1" outlineLevel="1" x14ac:dyDescent="0.2">
      <c r="A204" s="5"/>
      <c r="B204" s="9" t="str">
        <f>"Variaciones de la Hacenda Pública/ Patrimonio Generado Neto " &amp; '[1]R-VALIDACIÓN'!A3</f>
        <v>Variaciones de la Hacenda Pública/ Patrimonio Generado Neto 2023</v>
      </c>
      <c r="C204" s="19"/>
      <c r="D204" s="20"/>
      <c r="E204" s="20"/>
      <c r="F204" s="12"/>
    </row>
    <row r="205" spans="1:7" outlineLevel="1" x14ac:dyDescent="0.25">
      <c r="B205" s="32" t="s">
        <v>69</v>
      </c>
      <c r="C205" s="21">
        <f>-[1]EVHP!F36</f>
        <v>55735336.990000002</v>
      </c>
      <c r="D205" s="23">
        <f>[1]EA!G72</f>
        <v>55735336.98999995</v>
      </c>
      <c r="E205" s="21">
        <f>[1]ESF!H42</f>
        <v>55735336.990000002</v>
      </c>
      <c r="F205" s="31">
        <f>ROUND(IF(ABS(C205)=E205,IF(ABS(C205)=D205,0,C205-D205),ABS(C205)-ABS(E205)),2)</f>
        <v>0</v>
      </c>
      <c r="G205" s="5">
        <v>2</v>
      </c>
    </row>
    <row r="206" spans="1:7" outlineLevel="1" x14ac:dyDescent="0.25">
      <c r="B206" s="32"/>
    </row>
    <row r="207" spans="1:7" ht="59.25" customHeight="1" outlineLevel="1" x14ac:dyDescent="0.2">
      <c r="B207" s="75" t="s">
        <v>77</v>
      </c>
      <c r="C207" s="76"/>
      <c r="D207" s="76"/>
      <c r="E207" s="76"/>
      <c r="F207" s="77"/>
    </row>
    <row r="208" spans="1:7" ht="15.75" customHeight="1" outlineLevel="1" x14ac:dyDescent="0.2">
      <c r="A208" s="5">
        <f>IF(B208="La regla se cumple",1,0)</f>
        <v>1</v>
      </c>
      <c r="B208" s="9" t="str">
        <f>IF(F211=0,"La regla se cumple", "La regla no se cumple, revise sus registros")</f>
        <v>La regla se cumple</v>
      </c>
      <c r="C208" s="19" t="s">
        <v>10</v>
      </c>
      <c r="D208" s="20" t="s">
        <v>59</v>
      </c>
      <c r="E208" s="20" t="s">
        <v>60</v>
      </c>
      <c r="F208" s="12" t="s">
        <v>8</v>
      </c>
    </row>
    <row r="209" spans="1:7" ht="15" customHeight="1" outlineLevel="1" x14ac:dyDescent="0.2">
      <c r="A209" s="5"/>
      <c r="B209" s="9" t="str">
        <f>"Variaciones de la Hacenda Pública/ Patrimonio Generado Neto " &amp; '[1]R-VALIDACIÓN'!A3</f>
        <v>Variaciones de la Hacenda Pública/ Patrimonio Generado Neto 2023</v>
      </c>
      <c r="C209" s="20"/>
      <c r="D209" s="20"/>
      <c r="E209" s="20"/>
      <c r="F209" s="12"/>
    </row>
    <row r="210" spans="1:7" ht="15" customHeight="1" outlineLevel="1" x14ac:dyDescent="0.25">
      <c r="B210" s="32" t="s">
        <v>78</v>
      </c>
      <c r="C210" s="21">
        <f>[1]EVHP!F35</f>
        <v>280835742.06999999</v>
      </c>
      <c r="D210" s="23">
        <f>[1]ECSF!E57</f>
        <v>225100405.07999998</v>
      </c>
      <c r="E210" s="21">
        <f>[1]ECSF!F57</f>
        <v>0</v>
      </c>
      <c r="F210" s="28"/>
    </row>
    <row r="211" spans="1:7" ht="15" customHeight="1" outlineLevel="1" x14ac:dyDescent="0.25">
      <c r="B211" s="32" t="s">
        <v>79</v>
      </c>
      <c r="C211" s="21">
        <f>[1]EVHP!F36</f>
        <v>-55735336.990000002</v>
      </c>
      <c r="D211" s="60"/>
      <c r="E211" s="61"/>
      <c r="F211" s="31">
        <f>ROUND((C210+C211)-(D210-E210),2)</f>
        <v>0</v>
      </c>
      <c r="G211" s="5">
        <v>2</v>
      </c>
    </row>
    <row r="213" spans="1:7" ht="17.25" x14ac:dyDescent="0.3">
      <c r="A213" s="5" t="str">
        <f>CONCATENATE(COUNTIF(A215:A248,"=1"),"/4")</f>
        <v>4/4</v>
      </c>
      <c r="B213" s="74" t="s">
        <v>80</v>
      </c>
      <c r="C213" s="74"/>
      <c r="D213" s="74"/>
      <c r="E213" s="74"/>
      <c r="F213" s="74"/>
      <c r="G213" s="5">
        <f>SUM(G216:G252)</f>
        <v>23</v>
      </c>
    </row>
    <row r="214" spans="1:7" ht="27.75" customHeight="1" outlineLevel="1" x14ac:dyDescent="0.2">
      <c r="B214" s="75" t="s">
        <v>81</v>
      </c>
      <c r="C214" s="76"/>
      <c r="D214" s="76"/>
      <c r="E214" s="76"/>
      <c r="F214" s="77"/>
    </row>
    <row r="215" spans="1:7" outlineLevel="1" x14ac:dyDescent="0.2">
      <c r="A215" s="5">
        <f>IF(B215="La regla se cumple",1,0)</f>
        <v>1</v>
      </c>
      <c r="B215" s="9" t="str">
        <f>IF(F217=0,"La regla se cumple", "La regla no se cumple, revise sus registros")</f>
        <v>La regla se cumple</v>
      </c>
      <c r="C215" s="20" t="s">
        <v>59</v>
      </c>
      <c r="D215" s="20" t="s">
        <v>60</v>
      </c>
      <c r="E215" s="20" t="s">
        <v>41</v>
      </c>
      <c r="F215" s="12" t="s">
        <v>8</v>
      </c>
    </row>
    <row r="216" spans="1:7" ht="15.75" customHeight="1" outlineLevel="1" x14ac:dyDescent="0.25">
      <c r="A216" s="5"/>
      <c r="B216" s="32" t="s">
        <v>82</v>
      </c>
      <c r="C216" s="21">
        <f>[1]ECSF!E11</f>
        <v>0</v>
      </c>
      <c r="D216" s="21">
        <f>[1]ECSF!F11</f>
        <v>217973958.84999999</v>
      </c>
      <c r="E216" s="57"/>
      <c r="F216" s="28"/>
      <c r="G216" s="5">
        <v>1</v>
      </c>
    </row>
    <row r="217" spans="1:7" ht="17.25" customHeight="1" outlineLevel="1" x14ac:dyDescent="0.25">
      <c r="B217" s="32" t="str">
        <f>"Efectivo y Equivalentes " &amp; '[1]R-VALIDACIÓN'!A3</f>
        <v>Efectivo y Equivalentes 2023</v>
      </c>
      <c r="C217" s="62"/>
      <c r="D217" s="62"/>
      <c r="E217" s="23">
        <f>[1]EFE!E66</f>
        <v>217973958.85000002</v>
      </c>
      <c r="F217" s="31">
        <f>ROUND(E217-(D216-C216),2)</f>
        <v>0</v>
      </c>
      <c r="G217" s="5">
        <v>1</v>
      </c>
    </row>
    <row r="218" spans="1:7" outlineLevel="1" x14ac:dyDescent="0.25">
      <c r="B218" s="32"/>
      <c r="D218" s="2"/>
      <c r="E218" s="3"/>
    </row>
    <row r="219" spans="1:7" ht="27.75" customHeight="1" outlineLevel="1" x14ac:dyDescent="0.2">
      <c r="B219" s="75" t="s">
        <v>83</v>
      </c>
      <c r="C219" s="76"/>
      <c r="D219" s="76"/>
      <c r="E219" s="76"/>
      <c r="F219" s="77"/>
    </row>
    <row r="220" spans="1:7" ht="15" customHeight="1" outlineLevel="1" x14ac:dyDescent="0.2">
      <c r="A220" s="5">
        <f>IF(B220="La regla se cumple",1,0)</f>
        <v>1</v>
      </c>
      <c r="B220" s="9" t="str">
        <f>IF(SUM(F222:F237)=0,"La regla se cumple", "La regla no se cumple, revise sus registros")</f>
        <v>La regla se cumple</v>
      </c>
      <c r="C220" s="20" t="s">
        <v>59</v>
      </c>
      <c r="D220" s="20" t="s">
        <v>60</v>
      </c>
      <c r="E220" s="20" t="s">
        <v>84</v>
      </c>
      <c r="F220" s="12" t="s">
        <v>8</v>
      </c>
    </row>
    <row r="221" spans="1:7" ht="15" customHeight="1" outlineLevel="1" x14ac:dyDescent="0.25">
      <c r="B221" s="29" t="s">
        <v>17</v>
      </c>
      <c r="C221" s="4"/>
      <c r="D221" s="4"/>
      <c r="E221" s="4"/>
    </row>
    <row r="222" spans="1:7" ht="15" customHeight="1" outlineLevel="1" x14ac:dyDescent="0.25">
      <c r="B222" s="30" t="s">
        <v>20</v>
      </c>
      <c r="C222" s="23">
        <f>[1]ECSF!E11</f>
        <v>0</v>
      </c>
      <c r="D222" s="21">
        <f>[1]ECSF!F11</f>
        <v>217973958.84999999</v>
      </c>
      <c r="E222" s="57">
        <f>[1]EAA!H12</f>
        <v>217973958.84999999</v>
      </c>
      <c r="F222" s="31">
        <f>ROUND(E222-(D222-C222),2)</f>
        <v>0</v>
      </c>
      <c r="G222" s="5">
        <v>1</v>
      </c>
    </row>
    <row r="223" spans="1:7" ht="15" customHeight="1" outlineLevel="1" x14ac:dyDescent="0.25">
      <c r="B223" s="30" t="s">
        <v>21</v>
      </c>
      <c r="C223" s="23">
        <f>[1]ECSF!E12</f>
        <v>0</v>
      </c>
      <c r="D223" s="21">
        <f>[1]ECSF!F12</f>
        <v>51496023.25</v>
      </c>
      <c r="E223" s="57">
        <f>[1]EAA!H13</f>
        <v>51496023.24999994</v>
      </c>
      <c r="F223" s="31">
        <f t="shared" ref="F223:F227" si="5">ROUND(E223-(D223-C223),2)</f>
        <v>0</v>
      </c>
      <c r="G223" s="5">
        <v>1</v>
      </c>
    </row>
    <row r="224" spans="1:7" ht="15" customHeight="1" outlineLevel="1" x14ac:dyDescent="0.25">
      <c r="B224" s="30" t="s">
        <v>22</v>
      </c>
      <c r="C224" s="23">
        <f>[1]ECSF!E13</f>
        <v>0</v>
      </c>
      <c r="D224" s="21">
        <f>[1]ECSF!F13</f>
        <v>21051268.850000001</v>
      </c>
      <c r="E224" s="57">
        <f>[1]EAA!H14</f>
        <v>21051268.849999987</v>
      </c>
      <c r="F224" s="31">
        <f t="shared" si="5"/>
        <v>0</v>
      </c>
      <c r="G224" s="5">
        <v>1</v>
      </c>
    </row>
    <row r="225" spans="1:7" ht="15" customHeight="1" outlineLevel="1" x14ac:dyDescent="0.25">
      <c r="B225" s="30" t="s">
        <v>23</v>
      </c>
      <c r="C225" s="23">
        <f>[1]ECSF!E14</f>
        <v>0</v>
      </c>
      <c r="D225" s="21">
        <f>[1]ECSF!F14</f>
        <v>0</v>
      </c>
      <c r="E225" s="57">
        <f>[1]EAA!H15</f>
        <v>0</v>
      </c>
      <c r="F225" s="31">
        <f t="shared" si="5"/>
        <v>0</v>
      </c>
      <c r="G225" s="5">
        <v>1</v>
      </c>
    </row>
    <row r="226" spans="1:7" ht="15" customHeight="1" outlineLevel="1" x14ac:dyDescent="0.25">
      <c r="B226" s="30" t="s">
        <v>24</v>
      </c>
      <c r="C226" s="23">
        <f>[1]ECSF!E15</f>
        <v>0</v>
      </c>
      <c r="D226" s="21">
        <f>[1]ECSF!F15</f>
        <v>0</v>
      </c>
      <c r="E226" s="57">
        <f>[1]EAA!H16</f>
        <v>0</v>
      </c>
      <c r="F226" s="31">
        <f t="shared" si="5"/>
        <v>0</v>
      </c>
      <c r="G226" s="5">
        <v>1</v>
      </c>
    </row>
    <row r="227" spans="1:7" ht="15" customHeight="1" outlineLevel="1" x14ac:dyDescent="0.25">
      <c r="B227" s="30" t="s">
        <v>25</v>
      </c>
      <c r="C227" s="23">
        <f>[1]ECSF!E16</f>
        <v>0</v>
      </c>
      <c r="D227" s="21">
        <f>[1]ECSF!F16</f>
        <v>0</v>
      </c>
      <c r="E227" s="57">
        <f>[1]EAA!H17</f>
        <v>0</v>
      </c>
      <c r="F227" s="31">
        <f t="shared" si="5"/>
        <v>0</v>
      </c>
      <c r="G227" s="5">
        <v>1</v>
      </c>
    </row>
    <row r="228" spans="1:7" ht="15" customHeight="1" outlineLevel="1" x14ac:dyDescent="0.25">
      <c r="B228" s="29" t="s">
        <v>26</v>
      </c>
      <c r="C228" s="54"/>
      <c r="D228" s="56"/>
      <c r="E228" s="63"/>
      <c r="F228" s="28"/>
    </row>
    <row r="229" spans="1:7" ht="15" customHeight="1" outlineLevel="1" x14ac:dyDescent="0.25">
      <c r="B229" s="30" t="s">
        <v>27</v>
      </c>
      <c r="C229" s="23">
        <f>[1]ECSF!E20</f>
        <v>0</v>
      </c>
      <c r="D229" s="21">
        <f>[1]ECSF!F20</f>
        <v>0</v>
      </c>
      <c r="E229" s="57">
        <f>[1]EAA!H21</f>
        <v>0</v>
      </c>
      <c r="F229" s="31">
        <f>ROUND(E229-(D229-C229),2)</f>
        <v>0</v>
      </c>
      <c r="G229" s="5">
        <v>1</v>
      </c>
    </row>
    <row r="230" spans="1:7" ht="15" customHeight="1" outlineLevel="1" x14ac:dyDescent="0.25">
      <c r="B230" s="30" t="s">
        <v>28</v>
      </c>
      <c r="C230" s="23">
        <f>[1]ECSF!E21</f>
        <v>0</v>
      </c>
      <c r="D230" s="21">
        <f>[1]ECSF!F21</f>
        <v>0</v>
      </c>
      <c r="E230" s="57">
        <f>[1]EAA!H22</f>
        <v>0</v>
      </c>
      <c r="F230" s="31">
        <f t="shared" ref="F230:F237" si="6">ROUND(E230-(D230-C230),2)</f>
        <v>0</v>
      </c>
      <c r="G230" s="5">
        <v>1</v>
      </c>
    </row>
    <row r="231" spans="1:7" ht="15" customHeight="1" outlineLevel="1" x14ac:dyDescent="0.25">
      <c r="B231" s="30" t="s">
        <v>29</v>
      </c>
      <c r="C231" s="23">
        <f>[1]ECSF!E22</f>
        <v>0</v>
      </c>
      <c r="D231" s="21">
        <f>[1]ECSF!F22</f>
        <v>276861714.21000004</v>
      </c>
      <c r="E231" s="57">
        <f>[1]EAA!H23</f>
        <v>276861714.2100001</v>
      </c>
      <c r="F231" s="31">
        <f t="shared" si="6"/>
        <v>0</v>
      </c>
      <c r="G231" s="5">
        <v>1</v>
      </c>
    </row>
    <row r="232" spans="1:7" ht="15" customHeight="1" outlineLevel="1" x14ac:dyDescent="0.25">
      <c r="B232" s="30" t="s">
        <v>30</v>
      </c>
      <c r="C232" s="23">
        <f>[1]ECSF!E23</f>
        <v>0</v>
      </c>
      <c r="D232" s="21">
        <f>[1]ECSF!F23</f>
        <v>5793477.0099999979</v>
      </c>
      <c r="E232" s="57">
        <f>[1]EAA!H24</f>
        <v>5793477.0100000016</v>
      </c>
      <c r="F232" s="31">
        <f t="shared" si="6"/>
        <v>0</v>
      </c>
      <c r="G232" s="5">
        <v>1</v>
      </c>
    </row>
    <row r="233" spans="1:7" ht="15" customHeight="1" outlineLevel="1" x14ac:dyDescent="0.25">
      <c r="B233" s="30" t="s">
        <v>31</v>
      </c>
      <c r="C233" s="23">
        <f>[1]ECSF!E24</f>
        <v>0</v>
      </c>
      <c r="D233" s="21">
        <f>[1]ECSF!F24</f>
        <v>789429.81</v>
      </c>
      <c r="E233" s="57">
        <f>[1]EAA!H25</f>
        <v>789429.81</v>
      </c>
      <c r="F233" s="31">
        <f t="shared" si="6"/>
        <v>0</v>
      </c>
      <c r="G233" s="5">
        <v>1</v>
      </c>
    </row>
    <row r="234" spans="1:7" ht="15" customHeight="1" outlineLevel="1" x14ac:dyDescent="0.25">
      <c r="B234" s="30" t="s">
        <v>32</v>
      </c>
      <c r="C234" s="23">
        <f>[1]ECSF!E25</f>
        <v>0</v>
      </c>
      <c r="D234" s="21">
        <f>[1]ECSF!F25</f>
        <v>0</v>
      </c>
      <c r="E234" s="57">
        <f>[1]EAA!H26</f>
        <v>0</v>
      </c>
      <c r="F234" s="31">
        <f t="shared" si="6"/>
        <v>0</v>
      </c>
      <c r="G234" s="5">
        <v>1</v>
      </c>
    </row>
    <row r="235" spans="1:7" ht="15" customHeight="1" outlineLevel="1" x14ac:dyDescent="0.25">
      <c r="B235" s="30" t="s">
        <v>33</v>
      </c>
      <c r="C235" s="23">
        <f>[1]ECSF!E26</f>
        <v>0</v>
      </c>
      <c r="D235" s="21">
        <f>[1]ECSF!F26</f>
        <v>0</v>
      </c>
      <c r="E235" s="57">
        <f>[1]EAA!H27</f>
        <v>0</v>
      </c>
      <c r="F235" s="31">
        <f t="shared" si="6"/>
        <v>0</v>
      </c>
      <c r="G235" s="5">
        <v>1</v>
      </c>
    </row>
    <row r="236" spans="1:7" ht="15" customHeight="1" outlineLevel="1" x14ac:dyDescent="0.25">
      <c r="B236" s="32" t="s">
        <v>34</v>
      </c>
      <c r="C236" s="23">
        <f>[1]ECSF!E27</f>
        <v>0</v>
      </c>
      <c r="D236" s="21">
        <f>[1]ECSF!F27</f>
        <v>0</v>
      </c>
      <c r="E236" s="57">
        <f>[1]EAA!H28</f>
        <v>0</v>
      </c>
      <c r="F236" s="31">
        <f t="shared" si="6"/>
        <v>0</v>
      </c>
      <c r="G236" s="5">
        <v>1</v>
      </c>
    </row>
    <row r="237" spans="1:7" ht="15" customHeight="1" outlineLevel="1" x14ac:dyDescent="0.25">
      <c r="B237" s="30" t="s">
        <v>35</v>
      </c>
      <c r="C237" s="23">
        <f>[1]ECSF!E28</f>
        <v>0</v>
      </c>
      <c r="D237" s="21">
        <f>[1]ECSF!F28</f>
        <v>0</v>
      </c>
      <c r="E237" s="57">
        <f>[1]EAA!H29</f>
        <v>0</v>
      </c>
      <c r="F237" s="31">
        <f t="shared" si="6"/>
        <v>0</v>
      </c>
      <c r="G237" s="5">
        <v>1</v>
      </c>
    </row>
    <row r="238" spans="1:7" outlineLevel="1" x14ac:dyDescent="0.25">
      <c r="B238" s="32"/>
      <c r="D238" s="2"/>
      <c r="E238" s="3"/>
    </row>
    <row r="239" spans="1:7" ht="35.25" customHeight="1" outlineLevel="1" x14ac:dyDescent="0.2">
      <c r="B239" s="75" t="s">
        <v>85</v>
      </c>
      <c r="C239" s="76"/>
      <c r="D239" s="76"/>
      <c r="E239" s="76"/>
      <c r="F239" s="77"/>
    </row>
    <row r="240" spans="1:7" ht="15.75" customHeight="1" outlineLevel="1" x14ac:dyDescent="0.2">
      <c r="A240" s="5">
        <f>IF(B240="La regla se cumple",1,0)</f>
        <v>1</v>
      </c>
      <c r="B240" s="9" t="str">
        <f>IF((F242+F243+F244)=0,"La regla se cumple", "La regla no se cumple, revise sus registros")</f>
        <v>La regla se cumple</v>
      </c>
      <c r="C240" s="20" t="s">
        <v>59</v>
      </c>
      <c r="D240" s="20" t="s">
        <v>60</v>
      </c>
      <c r="E240" s="20" t="s">
        <v>10</v>
      </c>
      <c r="F240" s="12" t="s">
        <v>8</v>
      </c>
    </row>
    <row r="241" spans="1:7" ht="15.75" customHeight="1" outlineLevel="1" x14ac:dyDescent="0.2">
      <c r="A241" s="5"/>
      <c r="B241" s="9" t="str">
        <f>"Variaciones de la Hacenda Pública/ Patrimonio Generado Neto " &amp; '[1]R-VALIDACIÓN'!A3</f>
        <v>Variaciones de la Hacenda Pública/ Patrimonio Generado Neto 2023</v>
      </c>
      <c r="C241" s="19"/>
      <c r="D241" s="20"/>
      <c r="E241" s="20"/>
      <c r="F241" s="12"/>
    </row>
    <row r="242" spans="1:7" outlineLevel="1" x14ac:dyDescent="0.25">
      <c r="B242" s="32" t="s">
        <v>86</v>
      </c>
      <c r="C242" s="21">
        <f>[1]ECSF!E59</f>
        <v>0</v>
      </c>
      <c r="D242" s="21">
        <f>[1]ECSF!F59</f>
        <v>0</v>
      </c>
      <c r="E242" s="64">
        <f>[1]EVHP!F37</f>
        <v>0</v>
      </c>
      <c r="F242" s="31">
        <f>ROUND(E242-(C242-D242),2)</f>
        <v>0</v>
      </c>
      <c r="G242" s="5">
        <v>2</v>
      </c>
    </row>
    <row r="243" spans="1:7" outlineLevel="1" x14ac:dyDescent="0.25">
      <c r="B243" s="32" t="s">
        <v>87</v>
      </c>
      <c r="C243" s="21">
        <f>[1]ECSF!E60</f>
        <v>0</v>
      </c>
      <c r="D243" s="21">
        <f>[1]ECSF!F60</f>
        <v>0</v>
      </c>
      <c r="E243" s="64">
        <f>[1]EVHP!F38</f>
        <v>0</v>
      </c>
      <c r="F243" s="31">
        <f t="shared" ref="F243:F244" si="7">ROUND(E243-(C243-D243),2)</f>
        <v>0</v>
      </c>
      <c r="G243" s="5">
        <v>2</v>
      </c>
    </row>
    <row r="244" spans="1:7" outlineLevel="1" x14ac:dyDescent="0.25">
      <c r="B244" s="32" t="s">
        <v>88</v>
      </c>
      <c r="C244" s="21">
        <f>[1]ECSF!E61</f>
        <v>0</v>
      </c>
      <c r="D244" s="21">
        <f>[1]ECSF!F61</f>
        <v>89435.800000011921</v>
      </c>
      <c r="E244" s="64">
        <f>[1]EVHP!F39</f>
        <v>-89435.800000011921</v>
      </c>
      <c r="F244" s="31">
        <f t="shared" si="7"/>
        <v>0</v>
      </c>
      <c r="G244" s="5">
        <v>2</v>
      </c>
    </row>
    <row r="245" spans="1:7" ht="17.25" customHeight="1" outlineLevel="1" x14ac:dyDescent="0.2">
      <c r="B245" s="32"/>
      <c r="C245" s="32"/>
      <c r="D245" s="32"/>
      <c r="E245" s="32"/>
      <c r="F245" s="32"/>
    </row>
    <row r="246" spans="1:7" ht="17.25" customHeight="1" outlineLevel="1" x14ac:dyDescent="0.2">
      <c r="B246" s="79" t="s">
        <v>89</v>
      </c>
      <c r="C246" s="80"/>
      <c r="D246" s="80"/>
      <c r="E246" s="80"/>
      <c r="F246" s="81"/>
    </row>
    <row r="247" spans="1:7" ht="15" customHeight="1" outlineLevel="1" x14ac:dyDescent="0.2">
      <c r="B247" s="82"/>
      <c r="C247" s="83"/>
      <c r="D247" s="83"/>
      <c r="E247" s="83"/>
      <c r="F247" s="84"/>
    </row>
    <row r="248" spans="1:7" ht="14.25" customHeight="1" outlineLevel="1" x14ac:dyDescent="0.2">
      <c r="A248" s="5">
        <f>IF(B248="La regla se cumple",1,0)</f>
        <v>1</v>
      </c>
      <c r="B248" s="9" t="str">
        <f>IF(F251=0,"La regla se cumple", "La regla no se cumple, revise sus registros")</f>
        <v>La regla se cumple</v>
      </c>
      <c r="C248" s="20" t="s">
        <v>59</v>
      </c>
      <c r="D248" s="20" t="s">
        <v>60</v>
      </c>
      <c r="E248" s="20" t="s">
        <v>10</v>
      </c>
      <c r="F248" s="12" t="s">
        <v>8</v>
      </c>
    </row>
    <row r="249" spans="1:7" ht="15" customHeight="1" outlineLevel="1" x14ac:dyDescent="0.2">
      <c r="A249" s="5"/>
      <c r="B249" s="9" t="str">
        <f>"Variaciones de la Hacenda Pública/ Patrimonio Generado Neto " &amp; '[1]R-VALIDACIÓN'!A3</f>
        <v>Variaciones de la Hacenda Pública/ Patrimonio Generado Neto 2023</v>
      </c>
      <c r="C249" s="19"/>
      <c r="D249" s="20"/>
      <c r="E249" s="20"/>
      <c r="F249" s="12"/>
    </row>
    <row r="250" spans="1:7" ht="15" customHeight="1" outlineLevel="1" x14ac:dyDescent="0.25">
      <c r="B250" s="32" t="s">
        <v>90</v>
      </c>
      <c r="C250" s="21">
        <f>[1]ECSF!E57</f>
        <v>225100405.07999998</v>
      </c>
      <c r="D250" s="21">
        <f>[1]ECSF!F57</f>
        <v>0</v>
      </c>
      <c r="E250" s="23">
        <f>[1]EVHP!F35</f>
        <v>280835742.06999999</v>
      </c>
      <c r="F250" s="28"/>
    </row>
    <row r="251" spans="1:7" ht="15" customHeight="1" outlineLevel="1" x14ac:dyDescent="0.25">
      <c r="B251" s="32" t="s">
        <v>91</v>
      </c>
      <c r="C251" s="62"/>
      <c r="D251" s="62"/>
      <c r="E251" s="23">
        <f>[1]EVHP!F36</f>
        <v>-55735336.990000002</v>
      </c>
      <c r="F251" s="31">
        <f>ROUND((E250+E251)-(C250-D250),2)</f>
        <v>0</v>
      </c>
    </row>
    <row r="252" spans="1:7" x14ac:dyDescent="0.25">
      <c r="B252" s="32"/>
      <c r="C252" s="58"/>
      <c r="D252" s="58"/>
      <c r="E252" s="3"/>
    </row>
    <row r="253" spans="1:7" ht="17.25" x14ac:dyDescent="0.3">
      <c r="A253" s="5" t="str">
        <f>CONCATENATE(COUNTIF(A256:A268,"=1"),"/3")</f>
        <v>3/3</v>
      </c>
      <c r="B253" s="78" t="s">
        <v>92</v>
      </c>
      <c r="C253" s="78"/>
      <c r="D253" s="78"/>
      <c r="E253" s="78"/>
      <c r="F253" s="78"/>
      <c r="G253" s="5">
        <f>SUM(G257:G270)</f>
        <v>5</v>
      </c>
    </row>
    <row r="254" spans="1:7" ht="12.75" outlineLevel="1" x14ac:dyDescent="0.2">
      <c r="D254" s="2"/>
      <c r="F254" s="2"/>
    </row>
    <row r="255" spans="1:7" ht="30.75" customHeight="1" outlineLevel="1" x14ac:dyDescent="0.2">
      <c r="B255" s="75" t="s">
        <v>93</v>
      </c>
      <c r="C255" s="76"/>
      <c r="D255" s="76"/>
      <c r="E255" s="76"/>
      <c r="F255" s="77"/>
    </row>
    <row r="256" spans="1:7" outlineLevel="1" x14ac:dyDescent="0.2">
      <c r="A256" s="5">
        <f>IF(B256="La regla se cumple",1,0)</f>
        <v>1</v>
      </c>
      <c r="B256" s="9" t="str">
        <f>IF(F258=0,"La regla se cumple", "La regla no se cumple, revise sus registros")</f>
        <v>La regla se cumple</v>
      </c>
      <c r="C256" s="19" t="s">
        <v>41</v>
      </c>
      <c r="D256" s="20" t="s">
        <v>59</v>
      </c>
      <c r="E256" s="20" t="s">
        <v>60</v>
      </c>
      <c r="F256" s="12" t="s">
        <v>8</v>
      </c>
    </row>
    <row r="257" spans="1:7" ht="15.75" customHeight="1" outlineLevel="1" x14ac:dyDescent="0.25">
      <c r="B257" s="32" t="str">
        <f>"Incremento/Disminución Neta en el Efectivo y Equivalentes al Efectivo " &amp; '[1]R-VALIDACIÓN'!A3</f>
        <v>Incremento/Disminución Neta en el Efectivo y Equivalentes al Efectivo 2023</v>
      </c>
      <c r="C257" s="21">
        <f>[1]EFE!E66</f>
        <v>217973958.85000002</v>
      </c>
      <c r="D257" s="55"/>
      <c r="E257" s="55"/>
      <c r="F257" s="28"/>
    </row>
    <row r="258" spans="1:7" outlineLevel="1" x14ac:dyDescent="0.25">
      <c r="B258" s="32" t="s">
        <v>94</v>
      </c>
      <c r="C258" s="55"/>
      <c r="D258" s="23">
        <f>[1]ECSF!E11</f>
        <v>0</v>
      </c>
      <c r="E258" s="65">
        <f>[1]ECSF!F11</f>
        <v>217973958.84999999</v>
      </c>
      <c r="F258" s="31">
        <f>ROUND(C257-(E258-D258),2)</f>
        <v>0</v>
      </c>
      <c r="G258" s="5">
        <v>2</v>
      </c>
    </row>
    <row r="259" spans="1:7" ht="12.75" outlineLevel="1" x14ac:dyDescent="0.2">
      <c r="B259" s="66"/>
      <c r="C259" s="66"/>
      <c r="D259" s="66"/>
      <c r="E259" s="66"/>
      <c r="F259" s="66"/>
    </row>
    <row r="260" spans="1:7" ht="31.5" customHeight="1" outlineLevel="1" x14ac:dyDescent="0.2">
      <c r="B260" s="75" t="s">
        <v>95</v>
      </c>
      <c r="C260" s="76"/>
      <c r="D260" s="76"/>
      <c r="E260" s="76"/>
      <c r="F260" s="77"/>
    </row>
    <row r="261" spans="1:7" outlineLevel="1" x14ac:dyDescent="0.2">
      <c r="A261" s="5">
        <f>IF(B261="La regla se cumple",1,0)</f>
        <v>1</v>
      </c>
      <c r="B261" s="9" t="str">
        <f>IF(AND(F264=0,F265=0),"La regla se cumple", "La regla no se cumple, revise sus registros")</f>
        <v>La regla se cumple</v>
      </c>
      <c r="C261" s="19" t="s">
        <v>41</v>
      </c>
      <c r="D261" s="20" t="s">
        <v>7</v>
      </c>
      <c r="F261" s="12" t="s">
        <v>8</v>
      </c>
    </row>
    <row r="262" spans="1:7" ht="15.75" customHeight="1" outlineLevel="1" x14ac:dyDescent="0.25">
      <c r="B262" s="32" t="str">
        <f>"Efectivo y Equivalentes al Efectivo al Final del Ejercicio " &amp; '[1]R-VALIDACIÓN'!A3</f>
        <v>Efectivo y Equivalentes al Efectivo al Final del Ejercicio 2023</v>
      </c>
      <c r="C262" s="21">
        <f>[1]EFE!E70</f>
        <v>286428722.88</v>
      </c>
      <c r="D262" s="57"/>
      <c r="E262" s="56"/>
      <c r="F262" s="28"/>
    </row>
    <row r="263" spans="1:7" outlineLevel="1" x14ac:dyDescent="0.25">
      <c r="B263" s="32" t="str">
        <f>"Efectivo y Equivalentes al Efectivo al Final del Ejercicio " &amp; '[1]R-VALIDACIÓN'!A3-1</f>
        <v>Efectivo y Equivalentes al Efectivo al Final del Ejercicio 2022</v>
      </c>
      <c r="C263" s="21">
        <f>[1]EFE!F70</f>
        <v>68454764.030000001</v>
      </c>
      <c r="D263" s="57"/>
      <c r="E263" s="28"/>
      <c r="F263" s="28"/>
    </row>
    <row r="264" spans="1:7" outlineLevel="1" x14ac:dyDescent="0.25">
      <c r="B264" s="32" t="str">
        <f>"Efectivo y Equivalentes " &amp; '[1]R-VALIDACIÓN'!A3</f>
        <v>Efectivo y Equivalentes 2023</v>
      </c>
      <c r="C264" s="62"/>
      <c r="D264" s="23">
        <f>[1]ESF!C11</f>
        <v>286428722.88</v>
      </c>
      <c r="E264" s="28"/>
      <c r="F264" s="31">
        <f>ROUND(C262-D264,2)</f>
        <v>0</v>
      </c>
      <c r="G264" s="5">
        <v>1</v>
      </c>
    </row>
    <row r="265" spans="1:7" outlineLevel="1" x14ac:dyDescent="0.25">
      <c r="B265" s="32" t="str">
        <f>"Efectivo y Equivalentes " &amp; '[1]R-VALIDACIÓN'!A3-1</f>
        <v>Efectivo y Equivalentes 2022</v>
      </c>
      <c r="C265" s="62"/>
      <c r="D265" s="23">
        <f>[1]ESF!D11</f>
        <v>68454764.030000001</v>
      </c>
      <c r="E265" s="28"/>
      <c r="F265" s="31">
        <f>ROUND(C263-D265,2)</f>
        <v>0</v>
      </c>
      <c r="G265" s="5">
        <v>1</v>
      </c>
    </row>
    <row r="266" spans="1:7" ht="12.75" outlineLevel="1" x14ac:dyDescent="0.2">
      <c r="B266" s="66"/>
      <c r="C266" s="66"/>
      <c r="D266" s="66"/>
      <c r="E266" s="66"/>
      <c r="F266" s="66"/>
    </row>
    <row r="267" spans="1:7" ht="26.25" customHeight="1" outlineLevel="1" x14ac:dyDescent="0.2">
      <c r="B267" s="75" t="s">
        <v>96</v>
      </c>
      <c r="C267" s="76"/>
      <c r="D267" s="76"/>
      <c r="E267" s="76"/>
      <c r="F267" s="77"/>
    </row>
    <row r="268" spans="1:7" ht="15.75" customHeight="1" outlineLevel="1" x14ac:dyDescent="0.2">
      <c r="A268" s="5">
        <f>IF(B268="La regla se cumple",1,0)</f>
        <v>1</v>
      </c>
      <c r="B268" s="9" t="str">
        <f>IF(F270=0,"La regla se cumple", "La regla no se cumple, revise sus registros")</f>
        <v>La regla se cumple</v>
      </c>
      <c r="C268" s="19" t="s">
        <v>41</v>
      </c>
      <c r="D268" s="20" t="s">
        <v>7</v>
      </c>
      <c r="F268" s="12" t="s">
        <v>8</v>
      </c>
    </row>
    <row r="269" spans="1:7" outlineLevel="1" x14ac:dyDescent="0.25">
      <c r="B269" s="32" t="str">
        <f>"Efectivo y Equivalentes al Efectivo al Inicio del Ejercicio " &amp; '[1]R-VALIDACIÓN'!A3</f>
        <v>Efectivo y Equivalentes al Efectivo al Inicio del Ejercicio 2023</v>
      </c>
      <c r="C269" s="21">
        <f>[1]EFE!E68</f>
        <v>68454764.030000001</v>
      </c>
      <c r="D269" s="57"/>
      <c r="E269" s="56"/>
      <c r="F269" s="28"/>
    </row>
    <row r="270" spans="1:7" outlineLevel="1" x14ac:dyDescent="0.25">
      <c r="B270" s="32" t="str">
        <f>"Efectivo y Equivalentes " &amp; '[1]R-VALIDACIÓN'!A3-1</f>
        <v>Efectivo y Equivalentes 2022</v>
      </c>
      <c r="C270" s="62"/>
      <c r="D270" s="23">
        <f>[1]ESF!D11</f>
        <v>68454764.030000001</v>
      </c>
      <c r="E270" s="28"/>
      <c r="F270" s="31">
        <f>ROUND(C269-D270,2)</f>
        <v>0</v>
      </c>
      <c r="G270" s="5">
        <v>1</v>
      </c>
    </row>
    <row r="271" spans="1:7" x14ac:dyDescent="0.25">
      <c r="E271" s="4"/>
    </row>
    <row r="272" spans="1:7" ht="17.25" x14ac:dyDescent="0.3">
      <c r="A272" s="5" t="str">
        <f>CONCATENATE(COUNTIF(A273:A334,"=1"),"/2")</f>
        <v>2/2</v>
      </c>
      <c r="B272" s="74" t="s">
        <v>97</v>
      </c>
      <c r="C272" s="74"/>
      <c r="D272" s="74"/>
      <c r="E272" s="74"/>
      <c r="F272" s="74"/>
      <c r="G272" s="5">
        <f>SUM(G276:G335)</f>
        <v>47</v>
      </c>
    </row>
    <row r="273" spans="1:7" ht="42.75" customHeight="1" outlineLevel="1" x14ac:dyDescent="0.2">
      <c r="A273" s="67"/>
      <c r="B273" s="75" t="s">
        <v>98</v>
      </c>
      <c r="C273" s="76"/>
      <c r="D273" s="76"/>
      <c r="E273" s="76"/>
      <c r="F273" s="77"/>
    </row>
    <row r="274" spans="1:7" ht="15.75" customHeight="1" outlineLevel="1" x14ac:dyDescent="0.2">
      <c r="A274" s="5">
        <f>IF(B274="La regla se cumple",1,0)</f>
        <v>1</v>
      </c>
      <c r="B274" s="9" t="str">
        <f>IF(AND(F313=0,F314=0),"La regla se cumple", "La regla no se cumple, revise sus registros")</f>
        <v>La regla se cumple</v>
      </c>
      <c r="C274" s="10" t="s">
        <v>18</v>
      </c>
      <c r="D274" s="10" t="s">
        <v>19</v>
      </c>
      <c r="E274" s="20"/>
      <c r="F274" s="12" t="s">
        <v>8</v>
      </c>
    </row>
    <row r="275" spans="1:7" ht="15" customHeight="1" outlineLevel="1" x14ac:dyDescent="0.25">
      <c r="B275" s="29" t="s">
        <v>17</v>
      </c>
      <c r="C275" s="4"/>
      <c r="D275" s="4"/>
      <c r="E275" s="4"/>
    </row>
    <row r="276" spans="1:7" ht="15" customHeight="1" outlineLevel="1" x14ac:dyDescent="0.25">
      <c r="B276" s="30" t="s">
        <v>20</v>
      </c>
      <c r="C276" s="23">
        <f>[1]ESF!D11</f>
        <v>68454764.030000001</v>
      </c>
      <c r="D276" s="21">
        <f>[1]EAA!D12</f>
        <v>68454764.030000001</v>
      </c>
      <c r="F276" s="31">
        <f>ROUND(C276-D276,2)</f>
        <v>0</v>
      </c>
      <c r="G276" s="5">
        <v>1</v>
      </c>
    </row>
    <row r="277" spans="1:7" ht="15" customHeight="1" outlineLevel="1" x14ac:dyDescent="0.25">
      <c r="B277" s="30" t="s">
        <v>21</v>
      </c>
      <c r="C277" s="23">
        <f>[1]ESF!D12</f>
        <v>423776180.92000002</v>
      </c>
      <c r="D277" s="21">
        <f>[1]EAA!D13</f>
        <v>423776180.92000002</v>
      </c>
      <c r="F277" s="31">
        <f t="shared" ref="F277:F281" si="8">ROUND(C277-D277,2)</f>
        <v>0</v>
      </c>
      <c r="G277" s="5">
        <v>1</v>
      </c>
    </row>
    <row r="278" spans="1:7" ht="15" customHeight="1" outlineLevel="1" x14ac:dyDescent="0.25">
      <c r="B278" s="30" t="s">
        <v>22</v>
      </c>
      <c r="C278" s="23">
        <f>[1]ESF!D13</f>
        <v>12719140.210000001</v>
      </c>
      <c r="D278" s="21">
        <f>[1]EAA!D14</f>
        <v>12719140.210000001</v>
      </c>
      <c r="F278" s="31">
        <f t="shared" si="8"/>
        <v>0</v>
      </c>
      <c r="G278" s="5">
        <v>1</v>
      </c>
    </row>
    <row r="279" spans="1:7" ht="15" customHeight="1" outlineLevel="1" x14ac:dyDescent="0.25">
      <c r="B279" s="30" t="s">
        <v>23</v>
      </c>
      <c r="C279" s="23">
        <f>[1]ESF!D14</f>
        <v>0</v>
      </c>
      <c r="D279" s="21">
        <f>[1]EAA!D15</f>
        <v>0</v>
      </c>
      <c r="F279" s="31">
        <f t="shared" si="8"/>
        <v>0</v>
      </c>
      <c r="G279" s="5">
        <v>1</v>
      </c>
    </row>
    <row r="280" spans="1:7" ht="15" customHeight="1" outlineLevel="1" x14ac:dyDescent="0.25">
      <c r="B280" s="30" t="s">
        <v>24</v>
      </c>
      <c r="C280" s="23">
        <f>[1]ESF!D15</f>
        <v>0</v>
      </c>
      <c r="D280" s="21">
        <f>[1]EAA!D16</f>
        <v>0</v>
      </c>
      <c r="F280" s="31">
        <f t="shared" si="8"/>
        <v>0</v>
      </c>
      <c r="G280" s="5">
        <v>1</v>
      </c>
    </row>
    <row r="281" spans="1:7" ht="15" customHeight="1" outlineLevel="1" x14ac:dyDescent="0.25">
      <c r="B281" s="30" t="s">
        <v>25</v>
      </c>
      <c r="C281" s="23">
        <f>[1]ESF!D16</f>
        <v>0</v>
      </c>
      <c r="D281" s="21">
        <f>[1]EAA!D17</f>
        <v>0</v>
      </c>
      <c r="F281" s="31">
        <f t="shared" si="8"/>
        <v>0</v>
      </c>
      <c r="G281" s="5">
        <v>1</v>
      </c>
    </row>
    <row r="282" spans="1:7" ht="15" customHeight="1" outlineLevel="1" x14ac:dyDescent="0.25">
      <c r="B282" s="29" t="s">
        <v>26</v>
      </c>
      <c r="C282" s="3"/>
      <c r="D282" s="2"/>
    </row>
    <row r="283" spans="1:7" ht="15" customHeight="1" outlineLevel="1" x14ac:dyDescent="0.25">
      <c r="B283" s="30" t="s">
        <v>27</v>
      </c>
      <c r="C283" s="23">
        <f>[1]ESF!D22</f>
        <v>0</v>
      </c>
      <c r="D283" s="21">
        <f>[1]EAA!D21</f>
        <v>0</v>
      </c>
      <c r="F283" s="31">
        <f>ROUND(C283-D283,2)</f>
        <v>0</v>
      </c>
      <c r="G283" s="5">
        <v>1</v>
      </c>
    </row>
    <row r="284" spans="1:7" ht="15" customHeight="1" outlineLevel="1" x14ac:dyDescent="0.25">
      <c r="B284" s="30" t="s">
        <v>28</v>
      </c>
      <c r="C284" s="23">
        <f>[1]ESF!D23</f>
        <v>0</v>
      </c>
      <c r="D284" s="21">
        <f>[1]EAA!D22</f>
        <v>0</v>
      </c>
      <c r="F284" s="31">
        <f t="shared" ref="F284:F291" si="9">ROUND(C284-D284,2)</f>
        <v>0</v>
      </c>
      <c r="G284" s="5">
        <v>1</v>
      </c>
    </row>
    <row r="285" spans="1:7" ht="15" customHeight="1" outlineLevel="1" x14ac:dyDescent="0.25">
      <c r="B285" s="30" t="s">
        <v>29</v>
      </c>
      <c r="C285" s="23">
        <f>[1]ESF!D24</f>
        <v>42044335.450000003</v>
      </c>
      <c r="D285" s="21">
        <f>[1]EAA!D23</f>
        <v>42044335.450000003</v>
      </c>
      <c r="F285" s="31">
        <f t="shared" si="9"/>
        <v>0</v>
      </c>
      <c r="G285" s="5">
        <v>1</v>
      </c>
    </row>
    <row r="286" spans="1:7" ht="15" customHeight="1" outlineLevel="1" x14ac:dyDescent="0.25">
      <c r="B286" s="30" t="s">
        <v>30</v>
      </c>
      <c r="C286" s="23">
        <f>[1]ESF!D25</f>
        <v>16834824.890000001</v>
      </c>
      <c r="D286" s="21">
        <f>[1]EAA!D24</f>
        <v>16834824.890000001</v>
      </c>
      <c r="F286" s="31">
        <f t="shared" si="9"/>
        <v>0</v>
      </c>
      <c r="G286" s="5">
        <v>1</v>
      </c>
    </row>
    <row r="287" spans="1:7" ht="15" customHeight="1" outlineLevel="1" x14ac:dyDescent="0.25">
      <c r="B287" s="30" t="s">
        <v>31</v>
      </c>
      <c r="C287" s="23">
        <f>[1]ESF!D26</f>
        <v>0</v>
      </c>
      <c r="D287" s="21">
        <f>[1]EAA!D25</f>
        <v>0</v>
      </c>
      <c r="F287" s="31">
        <f t="shared" si="9"/>
        <v>0</v>
      </c>
      <c r="G287" s="5">
        <v>1</v>
      </c>
    </row>
    <row r="288" spans="1:7" ht="15" customHeight="1" outlineLevel="1" x14ac:dyDescent="0.25">
      <c r="B288" s="30" t="s">
        <v>32</v>
      </c>
      <c r="C288" s="23">
        <f>[1]ESF!D27</f>
        <v>-8168245.6600000001</v>
      </c>
      <c r="D288" s="21">
        <f>[1]EAA!D26</f>
        <v>-8168245.6600000001</v>
      </c>
      <c r="F288" s="31">
        <f t="shared" si="9"/>
        <v>0</v>
      </c>
      <c r="G288" s="5">
        <v>1</v>
      </c>
    </row>
    <row r="289" spans="2:7" ht="15" customHeight="1" outlineLevel="1" x14ac:dyDescent="0.25">
      <c r="B289" s="30" t="s">
        <v>33</v>
      </c>
      <c r="C289" s="23">
        <f>[1]ESF!D28</f>
        <v>0</v>
      </c>
      <c r="D289" s="21">
        <f>[1]EAA!D27</f>
        <v>0</v>
      </c>
      <c r="F289" s="31">
        <f t="shared" si="9"/>
        <v>0</v>
      </c>
      <c r="G289" s="5">
        <v>1</v>
      </c>
    </row>
    <row r="290" spans="2:7" ht="15" customHeight="1" outlineLevel="1" x14ac:dyDescent="0.25">
      <c r="B290" s="32" t="s">
        <v>34</v>
      </c>
      <c r="C290" s="23">
        <f>[1]ESF!D29</f>
        <v>0</v>
      </c>
      <c r="D290" s="21">
        <f>[1]EAA!D28</f>
        <v>0</v>
      </c>
      <c r="F290" s="31">
        <f t="shared" si="9"/>
        <v>0</v>
      </c>
      <c r="G290" s="5">
        <v>1</v>
      </c>
    </row>
    <row r="291" spans="2:7" ht="15" customHeight="1" outlineLevel="1" x14ac:dyDescent="0.25">
      <c r="B291" s="30" t="s">
        <v>35</v>
      </c>
      <c r="C291" s="23">
        <f>[1]ESF!D30</f>
        <v>0</v>
      </c>
      <c r="D291" s="21">
        <f>[1]EAA!D29</f>
        <v>0</v>
      </c>
      <c r="F291" s="31">
        <f t="shared" si="9"/>
        <v>0</v>
      </c>
      <c r="G291" s="5">
        <v>1</v>
      </c>
    </row>
    <row r="292" spans="2:7" ht="15" customHeight="1" outlineLevel="1" x14ac:dyDescent="0.25">
      <c r="B292" s="30"/>
      <c r="C292" s="3"/>
      <c r="D292" s="2"/>
    </row>
    <row r="293" spans="2:7" ht="15" customHeight="1" outlineLevel="1" x14ac:dyDescent="0.2">
      <c r="B293" s="29" t="s">
        <v>17</v>
      </c>
      <c r="C293" s="10" t="s">
        <v>36</v>
      </c>
      <c r="D293" s="10" t="s">
        <v>37</v>
      </c>
      <c r="E293" s="20"/>
      <c r="F293" s="12" t="s">
        <v>8</v>
      </c>
    </row>
    <row r="294" spans="2:7" ht="15" customHeight="1" outlineLevel="1" x14ac:dyDescent="0.25">
      <c r="B294" s="30" t="s">
        <v>20</v>
      </c>
      <c r="C294" s="23">
        <f>[1]ESF!C11</f>
        <v>286428722.88</v>
      </c>
      <c r="D294" s="21">
        <f>[1]EAA!G12</f>
        <v>286428722.88</v>
      </c>
      <c r="F294" s="31">
        <f>ROUND(C294-D294,2)</f>
        <v>0</v>
      </c>
      <c r="G294" s="5">
        <v>1</v>
      </c>
    </row>
    <row r="295" spans="2:7" ht="15" customHeight="1" outlineLevel="1" x14ac:dyDescent="0.25">
      <c r="B295" s="30" t="s">
        <v>21</v>
      </c>
      <c r="C295" s="23">
        <f>[1]ESF!C12</f>
        <v>475272204.17000002</v>
      </c>
      <c r="D295" s="21">
        <f>[1]EAA!G13</f>
        <v>475272204.16999996</v>
      </c>
      <c r="F295" s="31">
        <f t="shared" ref="F295:F299" si="10">ROUND(C295-D295,2)</f>
        <v>0</v>
      </c>
      <c r="G295" s="5">
        <v>1</v>
      </c>
    </row>
    <row r="296" spans="2:7" ht="15" customHeight="1" outlineLevel="1" x14ac:dyDescent="0.25">
      <c r="B296" s="30" t="s">
        <v>22</v>
      </c>
      <c r="C296" s="23">
        <f>[1]ESF!C13</f>
        <v>33770409.060000002</v>
      </c>
      <c r="D296" s="21">
        <f>[1]EAA!G14</f>
        <v>33770409.059999987</v>
      </c>
      <c r="F296" s="31">
        <f t="shared" si="10"/>
        <v>0</v>
      </c>
      <c r="G296" s="5">
        <v>1</v>
      </c>
    </row>
    <row r="297" spans="2:7" ht="15" customHeight="1" outlineLevel="1" x14ac:dyDescent="0.25">
      <c r="B297" s="30" t="s">
        <v>23</v>
      </c>
      <c r="C297" s="23">
        <f>[1]ESF!C14</f>
        <v>0</v>
      </c>
      <c r="D297" s="21">
        <f>[1]EAA!G15</f>
        <v>0</v>
      </c>
      <c r="F297" s="31">
        <f t="shared" si="10"/>
        <v>0</v>
      </c>
      <c r="G297" s="5">
        <v>1</v>
      </c>
    </row>
    <row r="298" spans="2:7" ht="15" customHeight="1" outlineLevel="1" x14ac:dyDescent="0.25">
      <c r="B298" s="30" t="s">
        <v>24</v>
      </c>
      <c r="C298" s="23">
        <f>[1]ESF!C15</f>
        <v>0</v>
      </c>
      <c r="D298" s="21">
        <f>[1]EAA!G16</f>
        <v>0</v>
      </c>
      <c r="F298" s="31">
        <f t="shared" si="10"/>
        <v>0</v>
      </c>
      <c r="G298" s="5">
        <v>1</v>
      </c>
    </row>
    <row r="299" spans="2:7" ht="15" customHeight="1" outlineLevel="1" x14ac:dyDescent="0.25">
      <c r="B299" s="30" t="s">
        <v>25</v>
      </c>
      <c r="C299" s="23">
        <f>[1]ESF!C16</f>
        <v>0</v>
      </c>
      <c r="D299" s="21">
        <f>[1]EAA!G17</f>
        <v>0</v>
      </c>
      <c r="F299" s="31">
        <f t="shared" si="10"/>
        <v>0</v>
      </c>
      <c r="G299" s="5">
        <v>1</v>
      </c>
    </row>
    <row r="300" spans="2:7" ht="15" customHeight="1" outlineLevel="1" x14ac:dyDescent="0.25">
      <c r="B300" s="29" t="s">
        <v>26</v>
      </c>
      <c r="C300" s="3"/>
      <c r="D300" s="2"/>
    </row>
    <row r="301" spans="2:7" ht="15" customHeight="1" outlineLevel="1" x14ac:dyDescent="0.25">
      <c r="B301" s="30" t="s">
        <v>27</v>
      </c>
      <c r="C301" s="23">
        <f>[1]ESF!C22</f>
        <v>0</v>
      </c>
      <c r="D301" s="21">
        <f>[1]EAA!G21</f>
        <v>0</v>
      </c>
      <c r="E301" s="56"/>
      <c r="F301" s="31">
        <f>ROUND(C301-D301,2)</f>
        <v>0</v>
      </c>
      <c r="G301" s="5">
        <v>1</v>
      </c>
    </row>
    <row r="302" spans="2:7" ht="15" customHeight="1" outlineLevel="1" x14ac:dyDescent="0.25">
      <c r="B302" s="30" t="s">
        <v>28</v>
      </c>
      <c r="C302" s="23">
        <f>[1]ESF!C23</f>
        <v>0</v>
      </c>
      <c r="D302" s="21">
        <f>[1]EAA!G22</f>
        <v>0</v>
      </c>
      <c r="E302" s="56"/>
      <c r="F302" s="31">
        <f t="shared" ref="F302:F309" si="11">ROUND(C302-D302,2)</f>
        <v>0</v>
      </c>
      <c r="G302" s="5">
        <v>1</v>
      </c>
    </row>
    <row r="303" spans="2:7" ht="15" customHeight="1" outlineLevel="1" x14ac:dyDescent="0.25">
      <c r="B303" s="30" t="s">
        <v>29</v>
      </c>
      <c r="C303" s="23">
        <f>[1]ESF!C24</f>
        <v>318906049.66000003</v>
      </c>
      <c r="D303" s="21">
        <f>[1]EAA!G23</f>
        <v>318906049.66000009</v>
      </c>
      <c r="E303" s="56"/>
      <c r="F303" s="31">
        <f t="shared" si="11"/>
        <v>0</v>
      </c>
      <c r="G303" s="5">
        <v>1</v>
      </c>
    </row>
    <row r="304" spans="2:7" ht="15" customHeight="1" outlineLevel="1" x14ac:dyDescent="0.25">
      <c r="B304" s="30" t="s">
        <v>30</v>
      </c>
      <c r="C304" s="23">
        <f>[1]ESF!C25</f>
        <v>22628301.899999999</v>
      </c>
      <c r="D304" s="21">
        <f>[1]EAA!G24</f>
        <v>22628301.900000002</v>
      </c>
      <c r="E304" s="56"/>
      <c r="F304" s="31">
        <f t="shared" si="11"/>
        <v>0</v>
      </c>
      <c r="G304" s="5">
        <v>1</v>
      </c>
    </row>
    <row r="305" spans="1:7" ht="15" customHeight="1" outlineLevel="1" x14ac:dyDescent="0.25">
      <c r="B305" s="30" t="s">
        <v>31</v>
      </c>
      <c r="C305" s="23">
        <f>[1]ESF!C26</f>
        <v>789429.81</v>
      </c>
      <c r="D305" s="21">
        <f>[1]EAA!G25</f>
        <v>789429.81</v>
      </c>
      <c r="E305" s="56"/>
      <c r="F305" s="31">
        <f t="shared" si="11"/>
        <v>0</v>
      </c>
      <c r="G305" s="5">
        <v>1</v>
      </c>
    </row>
    <row r="306" spans="1:7" ht="15" customHeight="1" outlineLevel="1" x14ac:dyDescent="0.25">
      <c r="B306" s="30" t="s">
        <v>32</v>
      </c>
      <c r="C306" s="23">
        <f>[1]ESF!C27</f>
        <v>-8168245.6600000001</v>
      </c>
      <c r="D306" s="21">
        <f>[1]EAA!G26</f>
        <v>-8168245.6600000001</v>
      </c>
      <c r="E306" s="56"/>
      <c r="F306" s="31">
        <f t="shared" si="11"/>
        <v>0</v>
      </c>
      <c r="G306" s="5">
        <v>1</v>
      </c>
    </row>
    <row r="307" spans="1:7" ht="15" customHeight="1" outlineLevel="1" x14ac:dyDescent="0.25">
      <c r="B307" s="30" t="s">
        <v>33</v>
      </c>
      <c r="C307" s="23">
        <f>[1]ESF!C28</f>
        <v>0</v>
      </c>
      <c r="D307" s="21">
        <f>[1]EAA!G27</f>
        <v>0</v>
      </c>
      <c r="E307" s="56"/>
      <c r="F307" s="31">
        <f t="shared" si="11"/>
        <v>0</v>
      </c>
      <c r="G307" s="5">
        <v>1</v>
      </c>
    </row>
    <row r="308" spans="1:7" ht="15" customHeight="1" outlineLevel="1" x14ac:dyDescent="0.25">
      <c r="B308" s="32" t="s">
        <v>34</v>
      </c>
      <c r="C308" s="23">
        <f>[1]ESF!C29</f>
        <v>0</v>
      </c>
      <c r="D308" s="21">
        <f>[1]EAA!G28</f>
        <v>0</v>
      </c>
      <c r="E308" s="56"/>
      <c r="F308" s="31">
        <f t="shared" si="11"/>
        <v>0</v>
      </c>
      <c r="G308" s="5">
        <v>1</v>
      </c>
    </row>
    <row r="309" spans="1:7" ht="15" customHeight="1" outlineLevel="1" x14ac:dyDescent="0.25">
      <c r="B309" s="30" t="s">
        <v>35</v>
      </c>
      <c r="C309" s="23">
        <f>[1]ESF!C30</f>
        <v>0</v>
      </c>
      <c r="D309" s="21">
        <f>[1]EAA!G29</f>
        <v>0</v>
      </c>
      <c r="E309" s="56"/>
      <c r="F309" s="31">
        <f t="shared" si="11"/>
        <v>0</v>
      </c>
      <c r="G309" s="5">
        <v>1</v>
      </c>
    </row>
    <row r="310" spans="1:7" ht="15" customHeight="1" outlineLevel="1" x14ac:dyDescent="0.25">
      <c r="B310" s="30"/>
      <c r="C310" s="68"/>
      <c r="D310" s="69"/>
      <c r="E310" s="56"/>
      <c r="F310" s="28"/>
    </row>
    <row r="311" spans="1:7" outlineLevel="1" x14ac:dyDescent="0.25">
      <c r="B311" s="30" t="str">
        <f>"Total Activo " &amp; '[1]R-VALIDACIÓN'!A3</f>
        <v>Total Activo 2023</v>
      </c>
      <c r="C311" s="48">
        <f>[1]ESF!C34</f>
        <v>1129626871.8199999</v>
      </c>
      <c r="D311" s="70"/>
      <c r="E311" s="56"/>
      <c r="F311" s="28"/>
    </row>
    <row r="312" spans="1:7" outlineLevel="1" x14ac:dyDescent="0.25">
      <c r="B312" s="30" t="str">
        <f>"Total Activo " &amp; '[1]R-VALIDACIÓN'!A3-1</f>
        <v>Total Activo 2022</v>
      </c>
      <c r="C312" s="52">
        <f>[1]ESF!D34</f>
        <v>555660999.84000003</v>
      </c>
      <c r="D312" s="70"/>
      <c r="E312" s="56"/>
      <c r="F312" s="28"/>
    </row>
    <row r="313" spans="1:7" outlineLevel="1" x14ac:dyDescent="0.25">
      <c r="B313" s="30" t="s">
        <v>38</v>
      </c>
      <c r="C313" s="71"/>
      <c r="D313" s="23">
        <f>[1]EAA!D10</f>
        <v>555660999.84000003</v>
      </c>
      <c r="E313" s="56"/>
      <c r="F313" s="31">
        <f>ROUND(C312-D313,2)</f>
        <v>0</v>
      </c>
      <c r="G313" s="5">
        <v>1</v>
      </c>
    </row>
    <row r="314" spans="1:7" ht="15" customHeight="1" outlineLevel="1" x14ac:dyDescent="0.25">
      <c r="B314" s="3" t="s">
        <v>39</v>
      </c>
      <c r="C314" s="69"/>
      <c r="D314" s="23">
        <f>[1]EAA!G10</f>
        <v>1129626871.8199999</v>
      </c>
      <c r="E314" s="54"/>
      <c r="F314" s="31">
        <f>ROUND(C311-D314,2)</f>
        <v>0</v>
      </c>
      <c r="G314" s="5">
        <v>1</v>
      </c>
    </row>
    <row r="315" spans="1:7" ht="12.75" outlineLevel="1" x14ac:dyDescent="0.2">
      <c r="B315" s="66"/>
      <c r="C315" s="66"/>
      <c r="D315" s="66"/>
      <c r="E315" s="66"/>
      <c r="F315" s="66"/>
    </row>
    <row r="316" spans="1:7" ht="39.75" customHeight="1" outlineLevel="1" x14ac:dyDescent="0.2">
      <c r="B316" s="75" t="s">
        <v>99</v>
      </c>
      <c r="C316" s="76"/>
      <c r="D316" s="76"/>
      <c r="E316" s="76"/>
      <c r="F316" s="77"/>
    </row>
    <row r="317" spans="1:7" ht="12.75" outlineLevel="1" x14ac:dyDescent="0.2">
      <c r="A317" s="5">
        <f>IF(B317="La regla se cumple",1,0)</f>
        <v>1</v>
      </c>
      <c r="B317" s="9" t="str">
        <f>IF(SUM(F319:F334)=0,"La regla se cumple", "La regla no se cumple, revise sus registros")</f>
        <v>La regla se cumple</v>
      </c>
      <c r="C317" s="6"/>
      <c r="D317" s="6"/>
      <c r="E317" s="6"/>
      <c r="F317" s="6"/>
    </row>
    <row r="318" spans="1:7" ht="15" customHeight="1" outlineLevel="1" x14ac:dyDescent="0.2">
      <c r="B318" s="29" t="s">
        <v>17</v>
      </c>
      <c r="C318" s="10" t="s">
        <v>59</v>
      </c>
      <c r="D318" s="10" t="s">
        <v>60</v>
      </c>
      <c r="E318" s="10" t="s">
        <v>84</v>
      </c>
      <c r="F318" s="12" t="s">
        <v>8</v>
      </c>
    </row>
    <row r="319" spans="1:7" ht="15.75" customHeight="1" outlineLevel="1" x14ac:dyDescent="0.25">
      <c r="B319" s="30" t="s">
        <v>20</v>
      </c>
      <c r="C319" s="23">
        <f>[1]ECSF!E11</f>
        <v>0</v>
      </c>
      <c r="D319" s="23">
        <f>[1]ECSF!F11</f>
        <v>217973958.84999999</v>
      </c>
      <c r="E319" s="23">
        <f>[1]EAA!H12</f>
        <v>217973958.84999999</v>
      </c>
      <c r="F319" s="31">
        <f t="shared" ref="F319:F324" si="12">ROUND(E319-(D319-C319),2)</f>
        <v>0</v>
      </c>
      <c r="G319" s="5">
        <v>1</v>
      </c>
    </row>
    <row r="320" spans="1:7" ht="15.75" customHeight="1" outlineLevel="1" x14ac:dyDescent="0.25">
      <c r="B320" s="30" t="s">
        <v>21</v>
      </c>
      <c r="C320" s="23">
        <f>[1]ECSF!E12</f>
        <v>0</v>
      </c>
      <c r="D320" s="23">
        <f>[1]ECSF!F12</f>
        <v>51496023.25</v>
      </c>
      <c r="E320" s="23">
        <f>[1]EAA!H13</f>
        <v>51496023.24999994</v>
      </c>
      <c r="F320" s="31">
        <f t="shared" si="12"/>
        <v>0</v>
      </c>
      <c r="G320" s="5">
        <v>1</v>
      </c>
    </row>
    <row r="321" spans="1:7" ht="15.75" customHeight="1" outlineLevel="1" x14ac:dyDescent="0.25">
      <c r="B321" s="30" t="s">
        <v>22</v>
      </c>
      <c r="C321" s="23">
        <f>[1]ECSF!E13</f>
        <v>0</v>
      </c>
      <c r="D321" s="23">
        <f>[1]ECSF!F13</f>
        <v>21051268.850000001</v>
      </c>
      <c r="E321" s="23">
        <f>[1]EAA!H14</f>
        <v>21051268.849999987</v>
      </c>
      <c r="F321" s="31">
        <f t="shared" si="12"/>
        <v>0</v>
      </c>
      <c r="G321" s="5">
        <v>1</v>
      </c>
    </row>
    <row r="322" spans="1:7" ht="15.75" customHeight="1" outlineLevel="1" x14ac:dyDescent="0.25">
      <c r="B322" s="30" t="s">
        <v>23</v>
      </c>
      <c r="C322" s="23">
        <f>[1]ECSF!E14</f>
        <v>0</v>
      </c>
      <c r="D322" s="23">
        <f>[1]ECSF!F14</f>
        <v>0</v>
      </c>
      <c r="E322" s="23">
        <f>[1]EAA!H15</f>
        <v>0</v>
      </c>
      <c r="F322" s="31">
        <f t="shared" si="12"/>
        <v>0</v>
      </c>
      <c r="G322" s="5">
        <v>1</v>
      </c>
    </row>
    <row r="323" spans="1:7" ht="15.75" customHeight="1" outlineLevel="1" x14ac:dyDescent="0.25">
      <c r="B323" s="30" t="s">
        <v>24</v>
      </c>
      <c r="C323" s="23">
        <f>[1]ECSF!E15</f>
        <v>0</v>
      </c>
      <c r="D323" s="23">
        <f>[1]ECSF!F15</f>
        <v>0</v>
      </c>
      <c r="E323" s="23">
        <f>[1]EAA!H16</f>
        <v>0</v>
      </c>
      <c r="F323" s="31">
        <f t="shared" si="12"/>
        <v>0</v>
      </c>
      <c r="G323" s="5">
        <v>1</v>
      </c>
    </row>
    <row r="324" spans="1:7" ht="15.75" customHeight="1" outlineLevel="1" x14ac:dyDescent="0.25">
      <c r="B324" s="30" t="s">
        <v>25</v>
      </c>
      <c r="C324" s="23">
        <f>[1]ECSF!E16</f>
        <v>0</v>
      </c>
      <c r="D324" s="23">
        <f>[1]ECSF!F16</f>
        <v>0</v>
      </c>
      <c r="E324" s="23">
        <f>[1]EAA!H17</f>
        <v>0</v>
      </c>
      <c r="F324" s="31">
        <f t="shared" si="12"/>
        <v>0</v>
      </c>
      <c r="G324" s="5">
        <v>1</v>
      </c>
    </row>
    <row r="325" spans="1:7" ht="15.75" customHeight="1" outlineLevel="1" x14ac:dyDescent="0.25">
      <c r="B325" s="29" t="s">
        <v>26</v>
      </c>
      <c r="C325" s="3"/>
      <c r="D325" s="2"/>
      <c r="E325" s="50"/>
    </row>
    <row r="326" spans="1:7" ht="15.75" customHeight="1" outlineLevel="1" x14ac:dyDescent="0.25">
      <c r="B326" s="30" t="s">
        <v>27</v>
      </c>
      <c r="C326" s="23">
        <f>[1]ECSF!E20</f>
        <v>0</v>
      </c>
      <c r="D326" s="21">
        <f>[1]ECSF!F20</f>
        <v>0</v>
      </c>
      <c r="E326" s="21">
        <f>[1]EAA!H21</f>
        <v>0</v>
      </c>
      <c r="F326" s="31">
        <f t="shared" ref="F326:F334" si="13">ROUND(E326-(D326-C326),2)</f>
        <v>0</v>
      </c>
      <c r="G326" s="5">
        <v>1</v>
      </c>
    </row>
    <row r="327" spans="1:7" ht="15.75" customHeight="1" outlineLevel="1" x14ac:dyDescent="0.25">
      <c r="B327" s="30" t="s">
        <v>28</v>
      </c>
      <c r="C327" s="23">
        <f>[1]ECSF!E21</f>
        <v>0</v>
      </c>
      <c r="D327" s="21">
        <f>[1]ECSF!F21</f>
        <v>0</v>
      </c>
      <c r="E327" s="21">
        <f>[1]EAA!H22</f>
        <v>0</v>
      </c>
      <c r="F327" s="31">
        <f t="shared" si="13"/>
        <v>0</v>
      </c>
      <c r="G327" s="5">
        <v>1</v>
      </c>
    </row>
    <row r="328" spans="1:7" ht="15.75" customHeight="1" outlineLevel="1" x14ac:dyDescent="0.25">
      <c r="B328" s="30" t="s">
        <v>29</v>
      </c>
      <c r="C328" s="23">
        <f>[1]ECSF!E22</f>
        <v>0</v>
      </c>
      <c r="D328" s="21">
        <f>[1]ECSF!F22</f>
        <v>276861714.21000004</v>
      </c>
      <c r="E328" s="21">
        <f>[1]EAA!H23</f>
        <v>276861714.2100001</v>
      </c>
      <c r="F328" s="31">
        <f t="shared" si="13"/>
        <v>0</v>
      </c>
      <c r="G328" s="5">
        <v>1</v>
      </c>
    </row>
    <row r="329" spans="1:7" ht="15.75" customHeight="1" outlineLevel="1" x14ac:dyDescent="0.25">
      <c r="B329" s="30" t="s">
        <v>30</v>
      </c>
      <c r="C329" s="23">
        <f>[1]ECSF!E23</f>
        <v>0</v>
      </c>
      <c r="D329" s="21">
        <f>[1]ECSF!F23</f>
        <v>5793477.0099999979</v>
      </c>
      <c r="E329" s="21">
        <f>[1]EAA!H24</f>
        <v>5793477.0100000016</v>
      </c>
      <c r="F329" s="31">
        <f t="shared" si="13"/>
        <v>0</v>
      </c>
      <c r="G329" s="5">
        <v>1</v>
      </c>
    </row>
    <row r="330" spans="1:7" ht="15.75" customHeight="1" outlineLevel="1" x14ac:dyDescent="0.25">
      <c r="B330" s="30" t="s">
        <v>31</v>
      </c>
      <c r="C330" s="23">
        <f>[1]ECSF!E24</f>
        <v>0</v>
      </c>
      <c r="D330" s="21">
        <f>[1]ECSF!F24</f>
        <v>789429.81</v>
      </c>
      <c r="E330" s="21">
        <f>[1]EAA!H25</f>
        <v>789429.81</v>
      </c>
      <c r="F330" s="31">
        <f t="shared" si="13"/>
        <v>0</v>
      </c>
      <c r="G330" s="5">
        <v>1</v>
      </c>
    </row>
    <row r="331" spans="1:7" ht="15.75" customHeight="1" outlineLevel="1" x14ac:dyDescent="0.25">
      <c r="B331" s="30" t="s">
        <v>32</v>
      </c>
      <c r="C331" s="23">
        <f>[1]ECSF!E25</f>
        <v>0</v>
      </c>
      <c r="D331" s="21">
        <f>[1]ECSF!F25</f>
        <v>0</v>
      </c>
      <c r="E331" s="21">
        <f>[1]EAA!H26</f>
        <v>0</v>
      </c>
      <c r="F331" s="31">
        <f t="shared" si="13"/>
        <v>0</v>
      </c>
      <c r="G331" s="5">
        <v>1</v>
      </c>
    </row>
    <row r="332" spans="1:7" ht="15.75" customHeight="1" outlineLevel="1" x14ac:dyDescent="0.25">
      <c r="B332" s="30" t="s">
        <v>33</v>
      </c>
      <c r="C332" s="23">
        <f>[1]ECSF!E26</f>
        <v>0</v>
      </c>
      <c r="D332" s="21">
        <f>[1]ECSF!F26</f>
        <v>0</v>
      </c>
      <c r="E332" s="21">
        <f>[1]EAA!H27</f>
        <v>0</v>
      </c>
      <c r="F332" s="31">
        <f t="shared" si="13"/>
        <v>0</v>
      </c>
      <c r="G332" s="5">
        <v>1</v>
      </c>
    </row>
    <row r="333" spans="1:7" outlineLevel="1" x14ac:dyDescent="0.25">
      <c r="B333" s="32" t="s">
        <v>34</v>
      </c>
      <c r="C333" s="23">
        <f>[1]ECSF!E27</f>
        <v>0</v>
      </c>
      <c r="D333" s="21">
        <f>[1]ECSF!F27</f>
        <v>0</v>
      </c>
      <c r="E333" s="21">
        <f>[1]EAA!H28</f>
        <v>0</v>
      </c>
      <c r="F333" s="31">
        <f t="shared" si="13"/>
        <v>0</v>
      </c>
      <c r="G333" s="5">
        <v>1</v>
      </c>
    </row>
    <row r="334" spans="1:7" outlineLevel="1" x14ac:dyDescent="0.25">
      <c r="B334" s="30" t="s">
        <v>35</v>
      </c>
      <c r="C334" s="23">
        <f>[1]ECSF!E28</f>
        <v>0</v>
      </c>
      <c r="D334" s="21">
        <f>[1]ECSF!F28</f>
        <v>0</v>
      </c>
      <c r="E334" s="21">
        <f>[1]EAA!H29</f>
        <v>0</v>
      </c>
      <c r="F334" s="31">
        <f t="shared" si="13"/>
        <v>0</v>
      </c>
      <c r="G334" s="5">
        <v>1</v>
      </c>
    </row>
    <row r="335" spans="1:7" x14ac:dyDescent="0.25">
      <c r="B335" s="32"/>
      <c r="C335" s="58"/>
      <c r="E335" s="58"/>
    </row>
    <row r="336" spans="1:7" ht="17.25" x14ac:dyDescent="0.3">
      <c r="A336" s="5" t="str">
        <f>CONCATENATE(COUNTIF(A339:A339,"=1"),"/1")</f>
        <v>1/1</v>
      </c>
      <c r="B336" s="78" t="s">
        <v>100</v>
      </c>
      <c r="C336" s="78"/>
      <c r="D336" s="78"/>
      <c r="E336" s="78"/>
      <c r="F336" s="78"/>
      <c r="G336" s="5">
        <f>SUM(G340:G343)</f>
        <v>2</v>
      </c>
    </row>
    <row r="337" spans="1:7" ht="12.75" outlineLevel="1" x14ac:dyDescent="0.2">
      <c r="D337" s="2"/>
      <c r="F337" s="2"/>
    </row>
    <row r="338" spans="1:7" ht="33.75" customHeight="1" outlineLevel="1" x14ac:dyDescent="0.2">
      <c r="B338" s="75" t="s">
        <v>101</v>
      </c>
      <c r="C338" s="76"/>
      <c r="D338" s="76"/>
      <c r="E338" s="76"/>
      <c r="F338" s="77"/>
    </row>
    <row r="339" spans="1:7" outlineLevel="1" x14ac:dyDescent="0.2">
      <c r="A339" s="5">
        <f>IF(B339="La regla se cumple",1,0)</f>
        <v>1</v>
      </c>
      <c r="B339" s="9" t="str">
        <f>IF((F342+F343)=0,"La regla se cumple", "La regla no se cumple, revise sus registros")</f>
        <v>La regla se cumple</v>
      </c>
      <c r="C339" s="10" t="s">
        <v>102</v>
      </c>
      <c r="D339" s="10" t="s">
        <v>7</v>
      </c>
      <c r="F339" s="12" t="s">
        <v>103</v>
      </c>
    </row>
    <row r="340" spans="1:7" ht="15.75" customHeight="1" outlineLevel="1" x14ac:dyDescent="0.25">
      <c r="B340" s="32" t="s">
        <v>104</v>
      </c>
      <c r="C340" s="21">
        <f>[1]EADOP!I43</f>
        <v>47493971.93</v>
      </c>
      <c r="D340" s="72"/>
    </row>
    <row r="341" spans="1:7" outlineLevel="1" x14ac:dyDescent="0.25">
      <c r="B341" s="32" t="s">
        <v>105</v>
      </c>
      <c r="C341" s="21">
        <f>[1]EADOP!J43</f>
        <v>340713537.63999999</v>
      </c>
      <c r="D341" s="72"/>
      <c r="E341" s="4"/>
    </row>
    <row r="342" spans="1:7" outlineLevel="1" x14ac:dyDescent="0.25">
      <c r="B342" s="32" t="str">
        <f>"Total del Pasivo " &amp; '[1]R-VALIDACIÓN'!A3-1</f>
        <v>Total del Pasivo 2022</v>
      </c>
      <c r="C342" s="73"/>
      <c r="D342" s="23">
        <f>[1]ESF!H32</f>
        <v>47493971.93</v>
      </c>
      <c r="E342" s="4"/>
      <c r="F342" s="31">
        <f>ROUND(C341-D343,2)</f>
        <v>0</v>
      </c>
      <c r="G342" s="5">
        <v>1</v>
      </c>
    </row>
    <row r="343" spans="1:7" outlineLevel="1" x14ac:dyDescent="0.25">
      <c r="B343" s="32" t="str">
        <f>"Total del Pasivo " &amp; '[1]R-VALIDACIÓN'!A3</f>
        <v>Total del Pasivo 2023</v>
      </c>
      <c r="C343" s="73"/>
      <c r="D343" s="23">
        <f>[1]ESF!G32</f>
        <v>340713537.63999999</v>
      </c>
      <c r="E343" s="4"/>
      <c r="F343" s="31">
        <f>ROUND(C340-D342,2)</f>
        <v>0</v>
      </c>
      <c r="G343" s="5">
        <v>1</v>
      </c>
    </row>
    <row r="344" spans="1:7" x14ac:dyDescent="0.25">
      <c r="E344" s="4"/>
    </row>
  </sheetData>
  <mergeCells count="47">
    <mergeCell ref="B16:F16"/>
    <mergeCell ref="B3:F3"/>
    <mergeCell ref="B4:F6"/>
    <mergeCell ref="B7:F7"/>
    <mergeCell ref="B9:F9"/>
    <mergeCell ref="B11:F11"/>
    <mergeCell ref="B114:F114"/>
    <mergeCell ref="B21:F21"/>
    <mergeCell ref="B26:F26"/>
    <mergeCell ref="B31:F31"/>
    <mergeCell ref="B33:F33"/>
    <mergeCell ref="B38:F38"/>
    <mergeCell ref="B81:F81"/>
    <mergeCell ref="B88:F88"/>
    <mergeCell ref="B92:F92"/>
    <mergeCell ref="B93:F93"/>
    <mergeCell ref="B100:F100"/>
    <mergeCell ref="B107:F107"/>
    <mergeCell ref="B192:F192"/>
    <mergeCell ref="B120:F120"/>
    <mergeCell ref="B127:F127"/>
    <mergeCell ref="B136:F136"/>
    <mergeCell ref="B138:F138"/>
    <mergeCell ref="B145:F145"/>
    <mergeCell ref="B151:F151"/>
    <mergeCell ref="B157:F157"/>
    <mergeCell ref="B167:F167"/>
    <mergeCell ref="B174:F174"/>
    <mergeCell ref="B181:F181"/>
    <mergeCell ref="B186:F186"/>
    <mergeCell ref="B267:F267"/>
    <mergeCell ref="B197:F197"/>
    <mergeCell ref="B202:F202"/>
    <mergeCell ref="B207:F207"/>
    <mergeCell ref="B213:F213"/>
    <mergeCell ref="B214:F214"/>
    <mergeCell ref="B219:F219"/>
    <mergeCell ref="B239:F239"/>
    <mergeCell ref="B246:F247"/>
    <mergeCell ref="B253:F253"/>
    <mergeCell ref="B255:F255"/>
    <mergeCell ref="B260:F260"/>
    <mergeCell ref="B272:F272"/>
    <mergeCell ref="B273:F273"/>
    <mergeCell ref="B316:F316"/>
    <mergeCell ref="B336:F336"/>
    <mergeCell ref="B338:F338"/>
  </mergeCells>
  <conditionalFormatting sqref="B17 B22 B24">
    <cfRule type="containsText" dxfId="46" priority="47" operator="containsText" text="La regla no se cumple,">
      <formula>NOT(ISERROR(SEARCH("La regla no se cumple,",B17)))</formula>
    </cfRule>
  </conditionalFormatting>
  <conditionalFormatting sqref="B12">
    <cfRule type="containsText" dxfId="45" priority="46" operator="containsText" text="La regla no se cumple,">
      <formula>NOT(ISERROR(SEARCH("La regla no se cumple,",B12)))</formula>
    </cfRule>
  </conditionalFormatting>
  <conditionalFormatting sqref="B27">
    <cfRule type="containsText" dxfId="44" priority="45" operator="containsText" text="La regla no se cumple,">
      <formula>NOT(ISERROR(SEARCH("La regla no se cumple,",B27)))</formula>
    </cfRule>
  </conditionalFormatting>
  <conditionalFormatting sqref="B158:B159">
    <cfRule type="containsText" dxfId="43" priority="34" operator="containsText" text="La regla no se cumple,">
      <formula>NOT(ISERROR(SEARCH("La regla no se cumple,",B158)))</formula>
    </cfRule>
  </conditionalFormatting>
  <conditionalFormatting sqref="B175:B176">
    <cfRule type="containsText" dxfId="42" priority="32" operator="containsText" text="La regla no se cumple,">
      <formula>NOT(ISERROR(SEARCH("La regla no se cumple,",B175)))</formula>
    </cfRule>
  </conditionalFormatting>
  <conditionalFormatting sqref="B187">
    <cfRule type="containsText" dxfId="41" priority="30" operator="containsText" text="La regla no se cumple,">
      <formula>NOT(ISERROR(SEARCH("La regla no se cumple,",B187)))</formula>
    </cfRule>
  </conditionalFormatting>
  <conditionalFormatting sqref="B198">
    <cfRule type="containsText" dxfId="40" priority="28" operator="containsText" text="La regla no se cumple,">
      <formula>NOT(ISERROR(SEARCH("La regla no se cumple,",B198)))</formula>
    </cfRule>
  </conditionalFormatting>
  <conditionalFormatting sqref="B34">
    <cfRule type="containsText" dxfId="39" priority="44" operator="containsText" text="La regla no se cumple,">
      <formula>NOT(ISERROR(SEARCH("La regla no se cumple,",B34)))</formula>
    </cfRule>
  </conditionalFormatting>
  <conditionalFormatting sqref="B39">
    <cfRule type="containsText" dxfId="38" priority="43" operator="containsText" text="La regla no se cumple,">
      <formula>NOT(ISERROR(SEARCH("La regla no se cumple,",B39)))</formula>
    </cfRule>
  </conditionalFormatting>
  <conditionalFormatting sqref="B82">
    <cfRule type="containsText" dxfId="37" priority="42" operator="containsText" text="La regla no se cumple,">
      <formula>NOT(ISERROR(SEARCH("La regla no se cumple,",B82)))</formula>
    </cfRule>
  </conditionalFormatting>
  <conditionalFormatting sqref="B89">
    <cfRule type="containsText" dxfId="36" priority="41" operator="containsText" text="La regla no se cumple,">
      <formula>NOT(ISERROR(SEARCH("La regla no se cumple,",B89)))</formula>
    </cfRule>
  </conditionalFormatting>
  <conditionalFormatting sqref="B108:B109">
    <cfRule type="containsText" dxfId="35" priority="40" operator="containsText" text="La regla no se cumple,">
      <formula>NOT(ISERROR(SEARCH("La regla no se cumple,",B108)))</formula>
    </cfRule>
  </conditionalFormatting>
  <conditionalFormatting sqref="B121">
    <cfRule type="containsText" dxfId="34" priority="39" operator="containsText" text="La regla no se cumple,">
      <formula>NOT(ISERROR(SEARCH("La regla no se cumple,",B121)))</formula>
    </cfRule>
  </conditionalFormatting>
  <conditionalFormatting sqref="B128:B129">
    <cfRule type="containsText" dxfId="33" priority="38" operator="containsText" text="La regla no se cumple,">
      <formula>NOT(ISERROR(SEARCH("La regla no se cumple,",B128)))</formula>
    </cfRule>
  </conditionalFormatting>
  <conditionalFormatting sqref="B256">
    <cfRule type="containsText" dxfId="32" priority="21" operator="containsText" text="La regla no se cumple,">
      <formula>NOT(ISERROR(SEARCH("La regla no se cumple,",B256)))</formula>
    </cfRule>
  </conditionalFormatting>
  <conditionalFormatting sqref="B261">
    <cfRule type="containsText" dxfId="31" priority="20" operator="containsText" text="La regla no se cumple,">
      <formula>NOT(ISERROR(SEARCH("La regla no se cumple,",B261)))</formula>
    </cfRule>
  </conditionalFormatting>
  <conditionalFormatting sqref="B139:B140">
    <cfRule type="containsText" dxfId="30" priority="37" operator="containsText" text="La regla no se cumple,">
      <formula>NOT(ISERROR(SEARCH("La regla no se cumple,",B139)))</formula>
    </cfRule>
  </conditionalFormatting>
  <conditionalFormatting sqref="B146">
    <cfRule type="containsText" dxfId="29" priority="36" operator="containsText" text="La regla no se cumple,">
      <formula>NOT(ISERROR(SEARCH("La regla no se cumple,",B146)))</formula>
    </cfRule>
  </conditionalFormatting>
  <conditionalFormatting sqref="B152:B153">
    <cfRule type="containsText" dxfId="28" priority="35" operator="containsText" text="La regla no se cumple,">
      <formula>NOT(ISERROR(SEARCH("La regla no se cumple,",B152)))</formula>
    </cfRule>
  </conditionalFormatting>
  <conditionalFormatting sqref="B193">
    <cfRule type="containsText" dxfId="27" priority="29" operator="containsText" text="La regla no se cumple,">
      <formula>NOT(ISERROR(SEARCH("La regla no se cumple,",B193)))</formula>
    </cfRule>
  </conditionalFormatting>
  <conditionalFormatting sqref="B168:B169">
    <cfRule type="containsText" dxfId="26" priority="33" operator="containsText" text="La regla no se cumple,">
      <formula>NOT(ISERROR(SEARCH("La regla no se cumple,",B168)))</formula>
    </cfRule>
  </conditionalFormatting>
  <conditionalFormatting sqref="B203">
    <cfRule type="containsText" dxfId="25" priority="27" operator="containsText" text="La regla no se cumple,">
      <formula>NOT(ISERROR(SEARCH("La regla no se cumple,",B203)))</formula>
    </cfRule>
  </conditionalFormatting>
  <conditionalFormatting sqref="B182">
    <cfRule type="containsText" dxfId="24" priority="31" operator="containsText" text="La regla no se cumple,">
      <formula>NOT(ISERROR(SEARCH("La regla no se cumple,",B182)))</formula>
    </cfRule>
  </conditionalFormatting>
  <conditionalFormatting sqref="B215">
    <cfRule type="containsText" dxfId="23" priority="25" operator="containsText" text="La regla no se cumple,">
      <formula>NOT(ISERROR(SEARCH("La regla no se cumple,",B215)))</formula>
    </cfRule>
  </conditionalFormatting>
  <conditionalFormatting sqref="B220">
    <cfRule type="containsText" dxfId="22" priority="24" operator="containsText" text="La regla no se cumple,">
      <formula>NOT(ISERROR(SEARCH("La regla no se cumple,",B220)))</formula>
    </cfRule>
  </conditionalFormatting>
  <conditionalFormatting sqref="B208">
    <cfRule type="containsText" dxfId="21" priority="26" operator="containsText" text="La regla no se cumple,">
      <formula>NOT(ISERROR(SEARCH("La regla no se cumple,",B208)))</formula>
    </cfRule>
  </conditionalFormatting>
  <conditionalFormatting sqref="B268">
    <cfRule type="containsText" dxfId="20" priority="19" operator="containsText" text="La regla no se cumple,">
      <formula>NOT(ISERROR(SEARCH("La regla no se cumple,",B268)))</formula>
    </cfRule>
  </conditionalFormatting>
  <conditionalFormatting sqref="B240">
    <cfRule type="containsText" dxfId="19" priority="23" operator="containsText" text="La regla no se cumple,">
      <formula>NOT(ISERROR(SEARCH("La regla no se cumple,",B240)))</formula>
    </cfRule>
  </conditionalFormatting>
  <conditionalFormatting sqref="B248">
    <cfRule type="containsText" dxfId="18" priority="22" operator="containsText" text="La regla no se cumple,">
      <formula>NOT(ISERROR(SEARCH("La regla no se cumple,",B248)))</formula>
    </cfRule>
  </conditionalFormatting>
  <conditionalFormatting sqref="B339">
    <cfRule type="containsText" dxfId="17" priority="18" operator="containsText" text="La regla no se cumple,">
      <formula>NOT(ISERROR(SEARCH("La regla no se cumple,",B339)))</formula>
    </cfRule>
  </conditionalFormatting>
  <conditionalFormatting sqref="B94">
    <cfRule type="containsText" dxfId="16" priority="17" operator="containsText" text="La regla no se cumple,">
      <formula>NOT(ISERROR(SEARCH("La regla no se cumple,",B94)))</formula>
    </cfRule>
  </conditionalFormatting>
  <conditionalFormatting sqref="B101">
    <cfRule type="containsText" dxfId="15" priority="16" operator="containsText" text="La regla no se cumple,">
      <formula>NOT(ISERROR(SEARCH("La regla no se cumple,",B101)))</formula>
    </cfRule>
  </conditionalFormatting>
  <conditionalFormatting sqref="B115:B116">
    <cfRule type="containsText" dxfId="14" priority="15" operator="containsText" text="La regla no se cumple,">
      <formula>NOT(ISERROR(SEARCH("La regla no se cumple,",B115)))</formula>
    </cfRule>
  </conditionalFormatting>
  <conditionalFormatting sqref="B183">
    <cfRule type="containsText" dxfId="13" priority="14" operator="containsText" text="La regla no se cumple,">
      <formula>NOT(ISERROR(SEARCH("La regla no se cumple,",B183)))</formula>
    </cfRule>
  </conditionalFormatting>
  <conditionalFormatting sqref="B188">
    <cfRule type="containsText" dxfId="12" priority="13" operator="containsText" text="La regla no se cumple,">
      <formula>NOT(ISERROR(SEARCH("La regla no se cumple,",B188)))</formula>
    </cfRule>
  </conditionalFormatting>
  <conditionalFormatting sqref="B199">
    <cfRule type="containsText" dxfId="11" priority="12" operator="containsText" text="La regla no se cumple,">
      <formula>NOT(ISERROR(SEARCH("La regla no se cumple,",B199)))</formula>
    </cfRule>
  </conditionalFormatting>
  <conditionalFormatting sqref="B194">
    <cfRule type="containsText" dxfId="10" priority="11" operator="containsText" text="La regla no se cumple,">
      <formula>NOT(ISERROR(SEARCH("La regla no se cumple,",B194)))</formula>
    </cfRule>
  </conditionalFormatting>
  <conditionalFormatting sqref="B204">
    <cfRule type="containsText" dxfId="9" priority="10" operator="containsText" text="La regla no se cumple,">
      <formula>NOT(ISERROR(SEARCH("La regla no se cumple,",B204)))</formula>
    </cfRule>
  </conditionalFormatting>
  <conditionalFormatting sqref="B209">
    <cfRule type="containsText" dxfId="8" priority="9" operator="containsText" text="La regla no se cumple,">
      <formula>NOT(ISERROR(SEARCH("La regla no se cumple,",B209)))</formula>
    </cfRule>
  </conditionalFormatting>
  <conditionalFormatting sqref="B241">
    <cfRule type="containsText" dxfId="7" priority="8" operator="containsText" text="La regla no se cumple,">
      <formula>NOT(ISERROR(SEARCH("La regla no se cumple,",B241)))</formula>
    </cfRule>
  </conditionalFormatting>
  <conditionalFormatting sqref="B249">
    <cfRule type="containsText" dxfId="6" priority="7" operator="containsText" text="La regla no se cumple,">
      <formula>NOT(ISERROR(SEARCH("La regla no se cumple,",B249)))</formula>
    </cfRule>
  </conditionalFormatting>
  <conditionalFormatting sqref="B317">
    <cfRule type="containsText" dxfId="5" priority="6" operator="containsText" text="La regla no se cumple,">
      <formula>NOT(ISERROR(SEARCH("La regla no se cumple,",B317)))</formula>
    </cfRule>
  </conditionalFormatting>
  <conditionalFormatting sqref="B29">
    <cfRule type="containsText" dxfId="4" priority="5" operator="containsText" text="La regla no se cumple,">
      <formula>NOT(ISERROR(SEARCH("La regla no se cumple,",B29)))</formula>
    </cfRule>
  </conditionalFormatting>
  <conditionalFormatting sqref="B122">
    <cfRule type="containsText" dxfId="3" priority="4" operator="containsText" text="La regla no se cumple,">
      <formula>NOT(ISERROR(SEARCH("La regla no se cumple,",B122)))</formula>
    </cfRule>
  </conditionalFormatting>
  <conditionalFormatting sqref="B147">
    <cfRule type="containsText" dxfId="2" priority="3" operator="containsText" text="La regla no se cumple,">
      <formula>NOT(ISERROR(SEARCH("La regla no se cumple,",B147)))</formula>
    </cfRule>
  </conditionalFormatting>
  <conditionalFormatting sqref="B19">
    <cfRule type="containsText" dxfId="1" priority="2" operator="containsText" text="La regla no se cumple,">
      <formula>NOT(ISERROR(SEARCH("La regla no se cumple,",B19)))</formula>
    </cfRule>
  </conditionalFormatting>
  <conditionalFormatting sqref="B274">
    <cfRule type="containsText" dxfId="0" priority="1" operator="containsText" text="La regla no se cumple,">
      <formula>NOT(ISERROR(SEARCH("La regla no se cumple,",B274)))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AlejandraG</dc:creator>
  <cp:lastModifiedBy>AlejandraG</cp:lastModifiedBy>
  <dcterms:created xsi:type="dcterms:W3CDTF">2024-03-07T15:56:20Z</dcterms:created>
  <dcterms:modified xsi:type="dcterms:W3CDTF">2024-03-07T16:02:24Z</dcterms:modified>
</cp:coreProperties>
</file>